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MD229_SWINGS\ISP Cast SWINGS\Log sheets\"/>
    </mc:Choice>
  </mc:AlternateContent>
  <bookViews>
    <workbookView xWindow="-110" yWindow="-110" windowWidth="23260" windowHeight="12580" firstSheet="18" activeTab="23"/>
  </bookViews>
  <sheets>
    <sheet name="Listing Pumps-FH" sheetId="2" r:id="rId1"/>
    <sheet name="SWG-01-003-P" sheetId="1" r:id="rId2"/>
    <sheet name="SWG-03-009-P" sheetId="7" r:id="rId3"/>
    <sheet name="SWG-03-013-P" sheetId="5" r:id="rId4"/>
    <sheet name="SWG-04-016-P" sheetId="6" r:id="rId5"/>
    <sheet name="SWG-11-030-P" sheetId="8" r:id="rId6"/>
    <sheet name="SWG-11-035-P" sheetId="9" r:id="rId7"/>
    <sheet name="SWG-14-043-P" sheetId="10" r:id="rId8"/>
    <sheet name="SWG-15-045-P" sheetId="11" r:id="rId9"/>
    <sheet name="SWG-21-056-P" sheetId="12" r:id="rId10"/>
    <sheet name="SWG-25-066-P" sheetId="13" r:id="rId11"/>
    <sheet name="SWG-25-070-P" sheetId="15" r:id="rId12"/>
    <sheet name="SWG-31-081" sheetId="17" r:id="rId13"/>
    <sheet name="SWG-33-086" sheetId="19" r:id="rId14"/>
    <sheet name="SWG-33-089" sheetId="18" r:id="rId15"/>
    <sheet name="SWG-36-096" sheetId="20" r:id="rId16"/>
    <sheet name="SWG-38-104" sheetId="21" r:id="rId17"/>
    <sheet name="SWG-42-113" sheetId="22" r:id="rId18"/>
    <sheet name="SWG-44-119" sheetId="23" r:id="rId19"/>
    <sheet name="SWG-47-129" sheetId="24" r:id="rId20"/>
    <sheet name="SWG-47-132" sheetId="25" r:id="rId21"/>
    <sheet name="SWG-58-145" sheetId="26" r:id="rId22"/>
    <sheet name="SWG-58-149" sheetId="27" r:id="rId23"/>
    <sheet name="SWG-68-171" sheetId="29" r:id="rId24"/>
  </sheets>
  <calcPr calcId="191029"/>
</workbook>
</file>

<file path=xl/calcChain.xml><?xml version="1.0" encoding="utf-8"?>
<calcChain xmlns="http://schemas.openxmlformats.org/spreadsheetml/2006/main">
  <c r="AA33" i="29" l="1"/>
  <c r="O26" i="29"/>
  <c r="AA32" i="29"/>
  <c r="AD30" i="29" l="1"/>
  <c r="AA30" i="29"/>
  <c r="O7" i="29"/>
  <c r="O8" i="29"/>
  <c r="O9" i="29"/>
  <c r="O10" i="29"/>
  <c r="O11" i="29"/>
  <c r="O12" i="29"/>
  <c r="O13" i="29"/>
  <c r="O14" i="29"/>
  <c r="O15" i="29"/>
  <c r="O16" i="29"/>
  <c r="O17" i="29"/>
  <c r="O18" i="29"/>
  <c r="O19" i="29"/>
  <c r="O20" i="29"/>
  <c r="O21" i="29"/>
  <c r="O22" i="29"/>
  <c r="O6" i="29"/>
  <c r="AD6" i="29" s="1"/>
  <c r="AA27" i="29" l="1"/>
  <c r="G7" i="29"/>
  <c r="B23" i="29"/>
  <c r="B24" i="29" s="1"/>
  <c r="D6" i="29"/>
  <c r="E6" i="29" l="1"/>
  <c r="F23" i="29"/>
  <c r="F7" i="29"/>
  <c r="D7" i="29" s="1"/>
  <c r="P11" i="27"/>
  <c r="E7" i="29" l="1"/>
  <c r="F8" i="29"/>
  <c r="F9" i="29" s="1"/>
  <c r="D9" i="29" l="1"/>
  <c r="F10" i="29"/>
  <c r="D8" i="29"/>
  <c r="G6" i="26"/>
  <c r="F14" i="29" l="1"/>
  <c r="D10" i="29"/>
  <c r="E8" i="29"/>
  <c r="B23" i="27"/>
  <c r="B24" i="27" s="1"/>
  <c r="P22" i="27"/>
  <c r="P21" i="27"/>
  <c r="P20" i="27"/>
  <c r="P16" i="27"/>
  <c r="P15" i="27"/>
  <c r="P14" i="27"/>
  <c r="P19" i="27"/>
  <c r="P18" i="27"/>
  <c r="P17" i="27"/>
  <c r="P13" i="27"/>
  <c r="P12" i="27"/>
  <c r="P10" i="27"/>
  <c r="P9" i="27"/>
  <c r="P8" i="27"/>
  <c r="P7" i="27"/>
  <c r="P6" i="27"/>
  <c r="T5" i="27" s="1"/>
  <c r="G6" i="27"/>
  <c r="F23" i="27" s="1"/>
  <c r="D6" i="27"/>
  <c r="E6" i="27" s="1"/>
  <c r="F11" i="29" l="1"/>
  <c r="D14" i="29"/>
  <c r="F7" i="27"/>
  <c r="D7" i="27" s="1"/>
  <c r="P11" i="26"/>
  <c r="P12" i="26"/>
  <c r="F23" i="26"/>
  <c r="B23" i="26"/>
  <c r="B24" i="26" s="1"/>
  <c r="P22" i="26"/>
  <c r="P21" i="26"/>
  <c r="P20" i="26"/>
  <c r="P19" i="26"/>
  <c r="P18" i="26"/>
  <c r="P17" i="26"/>
  <c r="P16" i="26"/>
  <c r="P15" i="26"/>
  <c r="P14" i="26"/>
  <c r="P13" i="26"/>
  <c r="P10" i="26"/>
  <c r="P9" i="26"/>
  <c r="P8" i="26"/>
  <c r="P7" i="26"/>
  <c r="P6" i="26"/>
  <c r="AB5" i="26" s="1"/>
  <c r="D6" i="26"/>
  <c r="F15" i="29" l="1"/>
  <c r="D11" i="29"/>
  <c r="E11" i="29" s="1"/>
  <c r="E10" i="29" s="1"/>
  <c r="E7" i="27"/>
  <c r="F8" i="27"/>
  <c r="D8" i="27" s="1"/>
  <c r="F7" i="26"/>
  <c r="F8" i="26" s="1"/>
  <c r="F9" i="26" s="1"/>
  <c r="E6" i="26"/>
  <c r="O18" i="25"/>
  <c r="O17" i="25"/>
  <c r="O16" i="25"/>
  <c r="O15" i="25"/>
  <c r="O14" i="25"/>
  <c r="O13" i="25"/>
  <c r="O12" i="25"/>
  <c r="O11" i="25"/>
  <c r="O10" i="25"/>
  <c r="O9" i="25"/>
  <c r="O8" i="25"/>
  <c r="O7" i="25"/>
  <c r="O6" i="25"/>
  <c r="P22" i="24"/>
  <c r="P21" i="24"/>
  <c r="P20" i="24"/>
  <c r="P19" i="24"/>
  <c r="P18" i="24"/>
  <c r="P17" i="24"/>
  <c r="P16" i="24"/>
  <c r="P15" i="24"/>
  <c r="P14" i="24"/>
  <c r="P13" i="24"/>
  <c r="P12" i="24"/>
  <c r="P11" i="24"/>
  <c r="P10" i="24"/>
  <c r="P9" i="24"/>
  <c r="P8" i="24"/>
  <c r="P7" i="24"/>
  <c r="P6" i="24"/>
  <c r="AB6" i="24" l="1"/>
  <c r="E8" i="27"/>
  <c r="T5" i="25"/>
  <c r="F16" i="29"/>
  <c r="D15" i="29"/>
  <c r="E15" i="29" s="1"/>
  <c r="E9" i="29"/>
  <c r="F9" i="27"/>
  <c r="F10" i="27" s="1"/>
  <c r="F11" i="27" s="1"/>
  <c r="D7" i="26"/>
  <c r="E7" i="26" s="1"/>
  <c r="D8" i="26"/>
  <c r="F10" i="26"/>
  <c r="D9" i="26"/>
  <c r="D6" i="25"/>
  <c r="E6" i="25" s="1"/>
  <c r="G6" i="25"/>
  <c r="F7" i="25" s="1"/>
  <c r="F12" i="27" l="1"/>
  <c r="D11" i="27"/>
  <c r="F17" i="29"/>
  <c r="F18" i="29" s="1"/>
  <c r="D16" i="29"/>
  <c r="E16" i="29" s="1"/>
  <c r="D9" i="27"/>
  <c r="D10" i="27"/>
  <c r="E8" i="26"/>
  <c r="E9" i="26" s="1"/>
  <c r="F8" i="25"/>
  <c r="D7" i="25"/>
  <c r="F11" i="26"/>
  <c r="D10" i="26"/>
  <c r="E7" i="25"/>
  <c r="B19" i="25"/>
  <c r="B20" i="25" s="1"/>
  <c r="F13" i="27" l="1"/>
  <c r="F14" i="27" s="1"/>
  <c r="F17" i="27" s="1"/>
  <c r="F18" i="27" s="1"/>
  <c r="F19" i="27" s="1"/>
  <c r="F20" i="27" s="1"/>
  <c r="D12" i="27"/>
  <c r="F19" i="29"/>
  <c r="D17" i="29"/>
  <c r="E17" i="29" s="1"/>
  <c r="D18" i="29"/>
  <c r="E9" i="27"/>
  <c r="E10" i="27" s="1"/>
  <c r="E11" i="27" s="1"/>
  <c r="E12" i="27" s="1"/>
  <c r="D13" i="27"/>
  <c r="D8" i="25"/>
  <c r="F9" i="25"/>
  <c r="E10" i="26"/>
  <c r="F12" i="26"/>
  <c r="D11" i="26"/>
  <c r="F7" i="24"/>
  <c r="D7" i="24" s="1"/>
  <c r="D6" i="24"/>
  <c r="F23" i="24"/>
  <c r="B23" i="24"/>
  <c r="B24" i="24" s="1"/>
  <c r="E13" i="27" l="1"/>
  <c r="D19" i="29"/>
  <c r="F20" i="29"/>
  <c r="D20" i="29" s="1"/>
  <c r="E18" i="29"/>
  <c r="E11" i="26"/>
  <c r="E8" i="25"/>
  <c r="F10" i="25"/>
  <c r="D9" i="25"/>
  <c r="F13" i="26"/>
  <c r="D12" i="26"/>
  <c r="F8" i="24"/>
  <c r="D8" i="24" s="1"/>
  <c r="E6" i="24"/>
  <c r="O19" i="23"/>
  <c r="O18" i="23"/>
  <c r="O17" i="23"/>
  <c r="O16" i="23"/>
  <c r="O15" i="23"/>
  <c r="O14" i="23"/>
  <c r="O13" i="23"/>
  <c r="O12" i="23"/>
  <c r="O11" i="23"/>
  <c r="O10" i="23"/>
  <c r="O9" i="23"/>
  <c r="O8" i="23"/>
  <c r="O7" i="23"/>
  <c r="O6" i="23"/>
  <c r="AC5" i="23" l="1"/>
  <c r="D23" i="29"/>
  <c r="K30" i="29" s="1"/>
  <c r="E19" i="29"/>
  <c r="E20" i="29" s="1"/>
  <c r="E14" i="29"/>
  <c r="E23" i="29"/>
  <c r="K29" i="29" s="1"/>
  <c r="E9" i="25"/>
  <c r="E12" i="26"/>
  <c r="D10" i="25"/>
  <c r="F11" i="25"/>
  <c r="F14" i="26"/>
  <c r="D14" i="26" s="1"/>
  <c r="D13" i="26"/>
  <c r="F9" i="24"/>
  <c r="F10" i="24" s="1"/>
  <c r="F11" i="24" s="1"/>
  <c r="F12" i="24" s="1"/>
  <c r="F13" i="24" s="1"/>
  <c r="F14" i="24" s="1"/>
  <c r="F15" i="24" s="1"/>
  <c r="F16" i="24" s="1"/>
  <c r="F17" i="24" s="1"/>
  <c r="F20" i="24" s="1"/>
  <c r="E7" i="24"/>
  <c r="G6" i="23"/>
  <c r="G7" i="23" s="1"/>
  <c r="E13" i="26" l="1"/>
  <c r="E14" i="26" s="1"/>
  <c r="D11" i="25"/>
  <c r="F14" i="25"/>
  <c r="E10" i="25"/>
  <c r="F15" i="26"/>
  <c r="E8" i="24"/>
  <c r="F7" i="23"/>
  <c r="F8" i="23" s="1"/>
  <c r="B20" i="23"/>
  <c r="B21" i="23" s="1"/>
  <c r="C17" i="23"/>
  <c r="C9" i="23"/>
  <c r="C15" i="23"/>
  <c r="C13" i="23"/>
  <c r="C8" i="23"/>
  <c r="C7" i="23"/>
  <c r="C6" i="23"/>
  <c r="D6" i="23" s="1"/>
  <c r="E11" i="25" l="1"/>
  <c r="D14" i="25"/>
  <c r="F15" i="25"/>
  <c r="F16" i="26"/>
  <c r="D15" i="26"/>
  <c r="E15" i="26" s="1"/>
  <c r="D9" i="24"/>
  <c r="E9" i="24" s="1"/>
  <c r="D8" i="23"/>
  <c r="D7" i="23"/>
  <c r="E6" i="23"/>
  <c r="F20" i="23"/>
  <c r="O12" i="22"/>
  <c r="F16" i="25" l="1"/>
  <c r="D15" i="25"/>
  <c r="E14" i="25"/>
  <c r="E15" i="25" s="1"/>
  <c r="F17" i="26"/>
  <c r="D16" i="26"/>
  <c r="E16" i="26" s="1"/>
  <c r="D10" i="24"/>
  <c r="E10" i="24" s="1"/>
  <c r="E7" i="23"/>
  <c r="E8" i="23" s="1"/>
  <c r="D6" i="22"/>
  <c r="E6" i="22" s="1"/>
  <c r="B23" i="22"/>
  <c r="B24" i="22" s="1"/>
  <c r="O22" i="22"/>
  <c r="F22" i="22"/>
  <c r="O21" i="22"/>
  <c r="F21" i="22"/>
  <c r="O20" i="22"/>
  <c r="O11" i="22"/>
  <c r="F11" i="22"/>
  <c r="O10" i="22"/>
  <c r="F10" i="22"/>
  <c r="O9" i="22"/>
  <c r="O19" i="22"/>
  <c r="O18" i="22"/>
  <c r="O17" i="22"/>
  <c r="O16" i="22"/>
  <c r="O15" i="22"/>
  <c r="O14" i="22"/>
  <c r="O13" i="22"/>
  <c r="O8" i="22"/>
  <c r="O7" i="22"/>
  <c r="O6" i="22"/>
  <c r="G6" i="22"/>
  <c r="G7" i="22" s="1"/>
  <c r="AD5" i="22" l="1"/>
  <c r="D16" i="25"/>
  <c r="E16" i="25" s="1"/>
  <c r="F17" i="25"/>
  <c r="F20" i="26"/>
  <c r="D20" i="26" s="1"/>
  <c r="D17" i="26"/>
  <c r="E17" i="26" s="1"/>
  <c r="D11" i="24"/>
  <c r="E11" i="24" s="1"/>
  <c r="F23" i="22"/>
  <c r="F7" i="22"/>
  <c r="F8" i="22" s="1"/>
  <c r="F18" i="25" l="1"/>
  <c r="D17" i="25"/>
  <c r="E17" i="25" s="1"/>
  <c r="E20" i="26"/>
  <c r="K29" i="26" s="1"/>
  <c r="D23" i="26"/>
  <c r="E23" i="26" s="1"/>
  <c r="D12" i="24"/>
  <c r="E12" i="24" s="1"/>
  <c r="D7" i="22"/>
  <c r="E7" i="22" s="1"/>
  <c r="F9" i="23"/>
  <c r="F12" i="23" s="1"/>
  <c r="D8" i="22"/>
  <c r="F9" i="22"/>
  <c r="F7" i="21"/>
  <c r="D7" i="21" s="1"/>
  <c r="D6" i="21"/>
  <c r="B20" i="21"/>
  <c r="B21" i="21" s="1"/>
  <c r="O19" i="21"/>
  <c r="F19" i="21"/>
  <c r="O18" i="21"/>
  <c r="F18" i="21"/>
  <c r="O17" i="21"/>
  <c r="O16" i="21"/>
  <c r="F16" i="21"/>
  <c r="O15" i="21"/>
  <c r="F15" i="21"/>
  <c r="O14" i="21"/>
  <c r="O13" i="21"/>
  <c r="O12" i="21"/>
  <c r="O11" i="21"/>
  <c r="O10" i="21"/>
  <c r="O9" i="21"/>
  <c r="O8" i="21"/>
  <c r="O7" i="21"/>
  <c r="O6" i="21"/>
  <c r="AA5" i="21" s="1"/>
  <c r="F19" i="25" l="1"/>
  <c r="D18" i="25"/>
  <c r="D19" i="25" s="1"/>
  <c r="K26" i="25" s="1"/>
  <c r="K30" i="26"/>
  <c r="D24" i="26"/>
  <c r="E8" i="22"/>
  <c r="D13" i="24"/>
  <c r="E13" i="24" s="1"/>
  <c r="F13" i="23"/>
  <c r="D12" i="23"/>
  <c r="D9" i="23"/>
  <c r="E9" i="23" s="1"/>
  <c r="D9" i="22"/>
  <c r="F12" i="22"/>
  <c r="F20" i="21"/>
  <c r="E6" i="21"/>
  <c r="E7" i="21" s="1"/>
  <c r="E9" i="22" l="1"/>
  <c r="E18" i="25"/>
  <c r="K25" i="25" s="1"/>
  <c r="D14" i="24"/>
  <c r="E14" i="24" s="1"/>
  <c r="E12" i="23"/>
  <c r="D13" i="23"/>
  <c r="F14" i="23"/>
  <c r="F13" i="22"/>
  <c r="D12" i="22"/>
  <c r="F8" i="21"/>
  <c r="F9" i="21" s="1"/>
  <c r="D9" i="21" s="1"/>
  <c r="F22" i="20"/>
  <c r="F21" i="20"/>
  <c r="F19" i="20"/>
  <c r="F18" i="20"/>
  <c r="D6" i="19"/>
  <c r="F9" i="10"/>
  <c r="F9" i="11"/>
  <c r="F7" i="9"/>
  <c r="F7" i="19"/>
  <c r="D7" i="19" s="1"/>
  <c r="F7" i="17"/>
  <c r="F7" i="15"/>
  <c r="D6" i="20"/>
  <c r="E6" i="20" s="1"/>
  <c r="D6" i="18"/>
  <c r="E6" i="18" s="1"/>
  <c r="B23" i="20"/>
  <c r="B24" i="20" s="1"/>
  <c r="O13" i="20"/>
  <c r="O15" i="20"/>
  <c r="O16" i="20"/>
  <c r="O14" i="20"/>
  <c r="O12" i="20"/>
  <c r="O19" i="20"/>
  <c r="O18" i="20"/>
  <c r="O17" i="20"/>
  <c r="O11" i="20"/>
  <c r="O10" i="20"/>
  <c r="O9" i="20"/>
  <c r="O7" i="20"/>
  <c r="O8" i="20"/>
  <c r="O22" i="20"/>
  <c r="O21" i="20"/>
  <c r="O20" i="20"/>
  <c r="O6" i="20"/>
  <c r="AC5" i="20" s="1"/>
  <c r="G6" i="20"/>
  <c r="F23" i="20" s="1"/>
  <c r="E12" i="22" l="1"/>
  <c r="E13" i="23"/>
  <c r="D15" i="24"/>
  <c r="E15" i="24" s="1"/>
  <c r="D8" i="21"/>
  <c r="E8" i="21" s="1"/>
  <c r="E9" i="21" s="1"/>
  <c r="D14" i="23"/>
  <c r="E14" i="23" s="1"/>
  <c r="F15" i="23"/>
  <c r="F16" i="23" s="1"/>
  <c r="F14" i="22"/>
  <c r="D13" i="22"/>
  <c r="E13" i="22" s="1"/>
  <c r="F10" i="21"/>
  <c r="G7" i="20"/>
  <c r="O7" i="18"/>
  <c r="O8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6" i="18"/>
  <c r="P6" i="17"/>
  <c r="AC6" i="18" l="1"/>
  <c r="D16" i="24"/>
  <c r="E16" i="24" s="1"/>
  <c r="D16" i="23"/>
  <c r="F17" i="23"/>
  <c r="D17" i="23" s="1"/>
  <c r="D15" i="23"/>
  <c r="E15" i="23" s="1"/>
  <c r="F15" i="22"/>
  <c r="D14" i="22"/>
  <c r="E14" i="22" s="1"/>
  <c r="F11" i="21"/>
  <c r="D10" i="21"/>
  <c r="F7" i="20"/>
  <c r="G6" i="18"/>
  <c r="F23" i="18" s="1"/>
  <c r="D20" i="24" l="1"/>
  <c r="D17" i="24"/>
  <c r="D20" i="23"/>
  <c r="E20" i="23" s="1"/>
  <c r="K26" i="23" s="1"/>
  <c r="E16" i="23"/>
  <c r="E17" i="23" s="1"/>
  <c r="D7" i="20"/>
  <c r="E7" i="20" s="1"/>
  <c r="F16" i="22"/>
  <c r="D15" i="22"/>
  <c r="E10" i="21"/>
  <c r="F12" i="21"/>
  <c r="D12" i="21" s="1"/>
  <c r="D11" i="21"/>
  <c r="G7" i="18"/>
  <c r="F8" i="20"/>
  <c r="F17" i="19"/>
  <c r="B17" i="19"/>
  <c r="B18" i="19" s="1"/>
  <c r="P16" i="19"/>
  <c r="P15" i="19"/>
  <c r="P14" i="19"/>
  <c r="P13" i="19"/>
  <c r="P12" i="19"/>
  <c r="P11" i="19"/>
  <c r="P10" i="19"/>
  <c r="P9" i="19"/>
  <c r="P8" i="19"/>
  <c r="P7" i="19"/>
  <c r="P6" i="19"/>
  <c r="E6" i="19"/>
  <c r="E7" i="19" s="1"/>
  <c r="B23" i="18"/>
  <c r="B24" i="18" s="1"/>
  <c r="F10" i="18"/>
  <c r="AB5" i="19" l="1"/>
  <c r="E17" i="24"/>
  <c r="E20" i="24" s="1"/>
  <c r="K29" i="24" s="1"/>
  <c r="D23" i="24"/>
  <c r="K30" i="24" s="1"/>
  <c r="K27" i="23"/>
  <c r="E11" i="21"/>
  <c r="E12" i="21" s="1"/>
  <c r="E15" i="22"/>
  <c r="D16" i="22"/>
  <c r="F17" i="22"/>
  <c r="F13" i="21"/>
  <c r="F9" i="20"/>
  <c r="D9" i="20" s="1"/>
  <c r="D8" i="20"/>
  <c r="E8" i="20" s="1"/>
  <c r="F8" i="19"/>
  <c r="F12" i="18"/>
  <c r="D12" i="18" s="1"/>
  <c r="F17" i="17"/>
  <c r="F8" i="17"/>
  <c r="D8" i="17" s="1"/>
  <c r="D6" i="17"/>
  <c r="B17" i="17"/>
  <c r="B18" i="17" s="1"/>
  <c r="P16" i="17"/>
  <c r="P15" i="17"/>
  <c r="P14" i="17"/>
  <c r="P13" i="17"/>
  <c r="P12" i="17"/>
  <c r="P11" i="17"/>
  <c r="P10" i="17"/>
  <c r="P9" i="17"/>
  <c r="P8" i="17"/>
  <c r="P7" i="17"/>
  <c r="E16" i="22" l="1"/>
  <c r="AB5" i="17"/>
  <c r="D24" i="24"/>
  <c r="D13" i="21"/>
  <c r="E13" i="21" s="1"/>
  <c r="F14" i="21"/>
  <c r="D14" i="21" s="1"/>
  <c r="E14" i="21" s="1"/>
  <c r="F18" i="22"/>
  <c r="D17" i="22"/>
  <c r="E17" i="22" s="1"/>
  <c r="F10" i="20"/>
  <c r="E9" i="20"/>
  <c r="F9" i="19"/>
  <c r="D8" i="19"/>
  <c r="F13" i="18"/>
  <c r="D13" i="18" s="1"/>
  <c r="E6" i="17"/>
  <c r="D7" i="17"/>
  <c r="F19" i="22" l="1"/>
  <c r="D18" i="22"/>
  <c r="F11" i="20"/>
  <c r="D10" i="20"/>
  <c r="E10" i="20" s="1"/>
  <c r="D9" i="19"/>
  <c r="F10" i="19"/>
  <c r="E8" i="19"/>
  <c r="F14" i="18"/>
  <c r="E7" i="17"/>
  <c r="E8" i="17" s="1"/>
  <c r="P13" i="13"/>
  <c r="P6" i="13"/>
  <c r="P7" i="13"/>
  <c r="P8" i="13"/>
  <c r="P9" i="13"/>
  <c r="P10" i="13"/>
  <c r="P11" i="13"/>
  <c r="P12" i="13"/>
  <c r="P14" i="13"/>
  <c r="P15" i="13"/>
  <c r="P16" i="13"/>
  <c r="P17" i="13"/>
  <c r="P18" i="13"/>
  <c r="P19" i="13"/>
  <c r="P20" i="13"/>
  <c r="P21" i="13"/>
  <c r="P22" i="13"/>
  <c r="AB5" i="13" l="1"/>
  <c r="E18" i="22"/>
  <c r="F20" i="22"/>
  <c r="D20" i="22" s="1"/>
  <c r="D19" i="22"/>
  <c r="F12" i="20"/>
  <c r="D12" i="20" s="1"/>
  <c r="D11" i="20"/>
  <c r="E11" i="20" s="1"/>
  <c r="E9" i="19"/>
  <c r="F11" i="19"/>
  <c r="D10" i="19"/>
  <c r="F11" i="18"/>
  <c r="D11" i="18" s="1"/>
  <c r="B17" i="15"/>
  <c r="O7" i="15"/>
  <c r="O8" i="15"/>
  <c r="O9" i="15"/>
  <c r="O10" i="15"/>
  <c r="O11" i="15"/>
  <c r="O12" i="15"/>
  <c r="O13" i="15"/>
  <c r="O14" i="15"/>
  <c r="O15" i="15"/>
  <c r="O16" i="15"/>
  <c r="O6" i="15"/>
  <c r="T5" i="15" l="1"/>
  <c r="E19" i="22"/>
  <c r="E20" i="22" s="1"/>
  <c r="D23" i="22"/>
  <c r="K30" i="22" s="1"/>
  <c r="F13" i="20"/>
  <c r="E12" i="20"/>
  <c r="D14" i="18"/>
  <c r="F14" i="19"/>
  <c r="D14" i="19" s="1"/>
  <c r="D11" i="19"/>
  <c r="E10" i="19"/>
  <c r="F18" i="18"/>
  <c r="D7" i="15"/>
  <c r="B18" i="15"/>
  <c r="D6" i="15"/>
  <c r="F14" i="20" l="1"/>
  <c r="F15" i="20" s="1"/>
  <c r="D13" i="20"/>
  <c r="E11" i="19"/>
  <c r="E14" i="19" s="1"/>
  <c r="K23" i="19" s="1"/>
  <c r="E23" i="22"/>
  <c r="K29" i="22" s="1"/>
  <c r="F17" i="21"/>
  <c r="D17" i="21" s="1"/>
  <c r="E17" i="21" s="1"/>
  <c r="D14" i="20"/>
  <c r="D17" i="19"/>
  <c r="D18" i="19" s="1"/>
  <c r="F19" i="18"/>
  <c r="D19" i="18" s="1"/>
  <c r="F8" i="15"/>
  <c r="F9" i="15" s="1"/>
  <c r="F10" i="15" s="1"/>
  <c r="F11" i="15" s="1"/>
  <c r="F12" i="15" s="1"/>
  <c r="F13" i="15" s="1"/>
  <c r="F14" i="15" s="1"/>
  <c r="F15" i="15" s="1"/>
  <c r="E6" i="15"/>
  <c r="E7" i="15" s="1"/>
  <c r="G6" i="13"/>
  <c r="F16" i="20" l="1"/>
  <c r="D15" i="20"/>
  <c r="D20" i="21"/>
  <c r="E20" i="21" s="1"/>
  <c r="K26" i="21" s="1"/>
  <c r="F16" i="15"/>
  <c r="D16" i="15" s="1"/>
  <c r="F17" i="15"/>
  <c r="F23" i="13"/>
  <c r="F7" i="13"/>
  <c r="E13" i="20"/>
  <c r="E14" i="20" s="1"/>
  <c r="K24" i="19"/>
  <c r="F20" i="18"/>
  <c r="D20" i="18" s="1"/>
  <c r="D8" i="15"/>
  <c r="B23" i="13"/>
  <c r="B24" i="13" s="1"/>
  <c r="D6" i="13"/>
  <c r="K27" i="21" l="1"/>
  <c r="F17" i="20"/>
  <c r="D16" i="20"/>
  <c r="F22" i="18"/>
  <c r="F15" i="18" s="1"/>
  <c r="E6" i="13"/>
  <c r="D9" i="15"/>
  <c r="E8" i="15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AC5" i="12" s="1"/>
  <c r="G6" i="12"/>
  <c r="B23" i="12"/>
  <c r="C20" i="12"/>
  <c r="F20" i="20" l="1"/>
  <c r="D20" i="20" s="1"/>
  <c r="D17" i="20"/>
  <c r="D15" i="18"/>
  <c r="D18" i="18"/>
  <c r="F23" i="12"/>
  <c r="F7" i="12"/>
  <c r="E15" i="20"/>
  <c r="E9" i="15"/>
  <c r="D10" i="15"/>
  <c r="D7" i="13"/>
  <c r="F8" i="13"/>
  <c r="B24" i="12"/>
  <c r="C15" i="12"/>
  <c r="C12" i="12"/>
  <c r="C11" i="12"/>
  <c r="C10" i="12"/>
  <c r="C9" i="12"/>
  <c r="C8" i="12"/>
  <c r="C7" i="12"/>
  <c r="C6" i="12"/>
  <c r="D6" i="12" s="1"/>
  <c r="C16" i="12"/>
  <c r="D23" i="20" l="1"/>
  <c r="E23" i="20" s="1"/>
  <c r="K29" i="20" s="1"/>
  <c r="E16" i="20"/>
  <c r="E17" i="20" s="1"/>
  <c r="E20" i="20" s="1"/>
  <c r="F21" i="18"/>
  <c r="F7" i="18" s="1"/>
  <c r="F9" i="17"/>
  <c r="D11" i="15"/>
  <c r="E10" i="15"/>
  <c r="F9" i="13"/>
  <c r="D8" i="13"/>
  <c r="E6" i="12"/>
  <c r="E7" i="13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7" i="11"/>
  <c r="O6" i="11"/>
  <c r="AB5" i="11" l="1"/>
  <c r="K30" i="20"/>
  <c r="D7" i="18"/>
  <c r="E7" i="18" s="1"/>
  <c r="D10" i="18"/>
  <c r="D21" i="18"/>
  <c r="D22" i="18"/>
  <c r="D9" i="17"/>
  <c r="F10" i="17"/>
  <c r="E11" i="15"/>
  <c r="D12" i="15"/>
  <c r="E8" i="13"/>
  <c r="D9" i="13"/>
  <c r="F10" i="13"/>
  <c r="D7" i="12"/>
  <c r="B23" i="11"/>
  <c r="B24" i="11" s="1"/>
  <c r="C6" i="11"/>
  <c r="D6" i="11" s="1"/>
  <c r="E6" i="11" s="1"/>
  <c r="F23" i="11"/>
  <c r="C22" i="11"/>
  <c r="C19" i="11"/>
  <c r="C18" i="11"/>
  <c r="C17" i="11"/>
  <c r="C13" i="11"/>
  <c r="C12" i="11"/>
  <c r="C11" i="11"/>
  <c r="C10" i="11"/>
  <c r="D9" i="11"/>
  <c r="E9" i="17" l="1"/>
  <c r="D10" i="17"/>
  <c r="F11" i="17"/>
  <c r="D13" i="15"/>
  <c r="E12" i="15"/>
  <c r="E7" i="12"/>
  <c r="D10" i="13"/>
  <c r="F11" i="13"/>
  <c r="F12" i="13" s="1"/>
  <c r="F13" i="13" s="1"/>
  <c r="F14" i="13" s="1"/>
  <c r="F15" i="13" s="1"/>
  <c r="F16" i="13" s="1"/>
  <c r="F17" i="13" s="1"/>
  <c r="F20" i="13" s="1"/>
  <c r="D20" i="13" s="1"/>
  <c r="E9" i="13"/>
  <c r="F8" i="12"/>
  <c r="E9" i="11"/>
  <c r="C14" i="11"/>
  <c r="F22" i="11"/>
  <c r="O8" i="10"/>
  <c r="O22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9" i="10"/>
  <c r="O7" i="10"/>
  <c r="O6" i="10"/>
  <c r="AB5" i="10" l="1"/>
  <c r="E10" i="18"/>
  <c r="E13" i="15"/>
  <c r="E10" i="17"/>
  <c r="F14" i="17"/>
  <c r="D14" i="17" s="1"/>
  <c r="D11" i="17"/>
  <c r="D14" i="15"/>
  <c r="D11" i="13"/>
  <c r="E10" i="13"/>
  <c r="D12" i="13"/>
  <c r="F9" i="12"/>
  <c r="D8" i="12"/>
  <c r="F10" i="11"/>
  <c r="D10" i="11" s="1"/>
  <c r="D6" i="8"/>
  <c r="F23" i="10"/>
  <c r="D9" i="10"/>
  <c r="E9" i="10" s="1"/>
  <c r="C12" i="10"/>
  <c r="B23" i="10"/>
  <c r="B24" i="10" s="1"/>
  <c r="C11" i="10"/>
  <c r="C13" i="10"/>
  <c r="C14" i="10"/>
  <c r="C15" i="10"/>
  <c r="C16" i="10"/>
  <c r="C17" i="10"/>
  <c r="C10" i="10"/>
  <c r="C6" i="10"/>
  <c r="C19" i="10" s="1"/>
  <c r="E11" i="18" l="1"/>
  <c r="E12" i="18" s="1"/>
  <c r="E13" i="18" s="1"/>
  <c r="E14" i="18" s="1"/>
  <c r="E15" i="18" s="1"/>
  <c r="E18" i="18" s="1"/>
  <c r="E19" i="18" s="1"/>
  <c r="E20" i="18" s="1"/>
  <c r="E21" i="18" s="1"/>
  <c r="E22" i="18" s="1"/>
  <c r="E14" i="15"/>
  <c r="E11" i="17"/>
  <c r="E14" i="17" s="1"/>
  <c r="K23" i="17" s="1"/>
  <c r="D17" i="17"/>
  <c r="K24" i="17" s="1"/>
  <c r="E11" i="13"/>
  <c r="E12" i="13" s="1"/>
  <c r="D15" i="15"/>
  <c r="D17" i="15" s="1"/>
  <c r="K24" i="15" s="1"/>
  <c r="E8" i="12"/>
  <c r="D13" i="13"/>
  <c r="D9" i="12"/>
  <c r="F10" i="12"/>
  <c r="E10" i="11"/>
  <c r="F10" i="10"/>
  <c r="F11" i="10" s="1"/>
  <c r="F12" i="10" s="1"/>
  <c r="F13" i="10" s="1"/>
  <c r="F14" i="10" s="1"/>
  <c r="F15" i="10" s="1"/>
  <c r="F16" i="10" s="1"/>
  <c r="F17" i="10" s="1"/>
  <c r="F18" i="10" s="1"/>
  <c r="F11" i="11"/>
  <c r="D11" i="11" s="1"/>
  <c r="D6" i="10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T6" i="9" l="1"/>
  <c r="E15" i="15"/>
  <c r="E16" i="15" s="1"/>
  <c r="K23" i="15" s="1"/>
  <c r="D18" i="17"/>
  <c r="E9" i="12"/>
  <c r="D10" i="10"/>
  <c r="E13" i="13"/>
  <c r="D11" i="10"/>
  <c r="D14" i="10"/>
  <c r="D17" i="10"/>
  <c r="D12" i="10"/>
  <c r="D13" i="10"/>
  <c r="D16" i="10"/>
  <c r="D14" i="13"/>
  <c r="D10" i="12"/>
  <c r="F11" i="12"/>
  <c r="E11" i="11"/>
  <c r="F19" i="10"/>
  <c r="D18" i="10"/>
  <c r="D15" i="10"/>
  <c r="F12" i="11"/>
  <c r="D12" i="11" s="1"/>
  <c r="F8" i="9"/>
  <c r="F9" i="9" s="1"/>
  <c r="F10" i="9" s="1"/>
  <c r="F11" i="9" s="1"/>
  <c r="F12" i="9" s="1"/>
  <c r="F15" i="9" s="1"/>
  <c r="F16" i="9" s="1"/>
  <c r="F17" i="9" s="1"/>
  <c r="F18" i="9" s="1"/>
  <c r="F19" i="9" s="1"/>
  <c r="F22" i="9" s="1"/>
  <c r="E6" i="10"/>
  <c r="E10" i="12" l="1"/>
  <c r="E12" i="11"/>
  <c r="E14" i="13"/>
  <c r="D15" i="13"/>
  <c r="D11" i="12"/>
  <c r="F12" i="12"/>
  <c r="F22" i="10"/>
  <c r="D22" i="10" s="1"/>
  <c r="D19" i="10"/>
  <c r="F13" i="11"/>
  <c r="D13" i="11" s="1"/>
  <c r="E13" i="11" s="1"/>
  <c r="E10" i="10"/>
  <c r="C9" i="9"/>
  <c r="C8" i="9"/>
  <c r="F23" i="9"/>
  <c r="B23" i="9"/>
  <c r="B24" i="9" s="1"/>
  <c r="L22" i="9"/>
  <c r="L14" i="9"/>
  <c r="L13" i="9"/>
  <c r="L12" i="9"/>
  <c r="L17" i="9"/>
  <c r="L18" i="9"/>
  <c r="L16" i="9"/>
  <c r="L15" i="9"/>
  <c r="L21" i="9"/>
  <c r="L20" i="9"/>
  <c r="D7" i="9"/>
  <c r="E6" i="9"/>
  <c r="E11" i="12" l="1"/>
  <c r="D23" i="10"/>
  <c r="K30" i="10" s="1"/>
  <c r="E7" i="9"/>
  <c r="E15" i="13"/>
  <c r="D16" i="13"/>
  <c r="D12" i="12"/>
  <c r="F13" i="12"/>
  <c r="F14" i="12" s="1"/>
  <c r="F15" i="12" s="1"/>
  <c r="F18" i="11"/>
  <c r="E11" i="10"/>
  <c r="E12" i="10" s="1"/>
  <c r="D10" i="9"/>
  <c r="D9" i="9"/>
  <c r="D8" i="9"/>
  <c r="E12" i="12" l="1"/>
  <c r="E8" i="9"/>
  <c r="E9" i="9" s="1"/>
  <c r="E10" i="9" s="1"/>
  <c r="E16" i="13"/>
  <c r="D17" i="13"/>
  <c r="D23" i="13" s="1"/>
  <c r="F16" i="12"/>
  <c r="D15" i="12"/>
  <c r="D13" i="12"/>
  <c r="D14" i="12"/>
  <c r="F17" i="11"/>
  <c r="D17" i="11" s="1"/>
  <c r="E13" i="10"/>
  <c r="D11" i="9"/>
  <c r="E13" i="12" l="1"/>
  <c r="E14" i="12" s="1"/>
  <c r="E15" i="12" s="1"/>
  <c r="D18" i="11"/>
  <c r="K30" i="13"/>
  <c r="D24" i="13"/>
  <c r="E17" i="13"/>
  <c r="E20" i="13" s="1"/>
  <c r="K29" i="13" s="1"/>
  <c r="D16" i="12"/>
  <c r="F19" i="12"/>
  <c r="F19" i="11"/>
  <c r="D19" i="11" s="1"/>
  <c r="E14" i="10"/>
  <c r="E15" i="10" s="1"/>
  <c r="E11" i="9"/>
  <c r="D12" i="9"/>
  <c r="E16" i="12" l="1"/>
  <c r="F20" i="12"/>
  <c r="D20" i="12" s="1"/>
  <c r="D19" i="12"/>
  <c r="F20" i="11"/>
  <c r="D20" i="11" s="1"/>
  <c r="E12" i="9"/>
  <c r="D15" i="9"/>
  <c r="D23" i="12" l="1"/>
  <c r="E23" i="12" s="1"/>
  <c r="K29" i="12" s="1"/>
  <c r="E19" i="12"/>
  <c r="E20" i="12" s="1"/>
  <c r="F14" i="11"/>
  <c r="D14" i="11" s="1"/>
  <c r="E15" i="9"/>
  <c r="D16" i="9"/>
  <c r="K30" i="12" l="1"/>
  <c r="E14" i="11"/>
  <c r="E17" i="11" s="1"/>
  <c r="E18" i="11" s="1"/>
  <c r="E19" i="11" s="1"/>
  <c r="E20" i="11" s="1"/>
  <c r="F21" i="11"/>
  <c r="E16" i="9"/>
  <c r="D17" i="9"/>
  <c r="D22" i="11" l="1"/>
  <c r="D21" i="11"/>
  <c r="E21" i="11" s="1"/>
  <c r="E17" i="9"/>
  <c r="D18" i="9"/>
  <c r="B23" i="8"/>
  <c r="B24" i="8" s="1"/>
  <c r="E22" i="11" l="1"/>
  <c r="K29" i="11" s="1"/>
  <c r="D23" i="11"/>
  <c r="E18" i="9"/>
  <c r="D22" i="9"/>
  <c r="D19" i="9"/>
  <c r="K30" i="11" l="1"/>
  <c r="E23" i="11"/>
  <c r="E19" i="9"/>
  <c r="E22" i="9" s="1"/>
  <c r="K29" i="9" s="1"/>
  <c r="D23" i="9"/>
  <c r="K30" i="9" s="1"/>
  <c r="E6" i="8"/>
  <c r="P15" i="8"/>
  <c r="P14" i="8"/>
  <c r="P13" i="8"/>
  <c r="G7" i="8"/>
  <c r="G6" i="8"/>
  <c r="F7" i="8" l="1"/>
  <c r="D7" i="8" s="1"/>
  <c r="F23" i="8"/>
  <c r="P7" i="8"/>
  <c r="K25" i="8"/>
  <c r="K26" i="8" s="1"/>
  <c r="K27" i="8" s="1"/>
  <c r="P21" i="8"/>
  <c r="P20" i="8"/>
  <c r="P19" i="8"/>
  <c r="P18" i="8"/>
  <c r="P17" i="8"/>
  <c r="P16" i="8"/>
  <c r="P22" i="8"/>
  <c r="P12" i="8"/>
  <c r="P11" i="8"/>
  <c r="P10" i="8"/>
  <c r="P9" i="8"/>
  <c r="P8" i="8"/>
  <c r="P6" i="8"/>
  <c r="AA5" i="8" s="1"/>
  <c r="F8" i="8" l="1"/>
  <c r="E7" i="8"/>
  <c r="O10" i="6"/>
  <c r="O11" i="6"/>
  <c r="O12" i="6"/>
  <c r="O13" i="6"/>
  <c r="O14" i="6"/>
  <c r="O15" i="6"/>
  <c r="O16" i="6"/>
  <c r="O17" i="6"/>
  <c r="O18" i="6"/>
  <c r="O20" i="6"/>
  <c r="O19" i="6"/>
  <c r="O21" i="6"/>
  <c r="O22" i="6"/>
  <c r="P18" i="7"/>
  <c r="P17" i="7"/>
  <c r="O9" i="6"/>
  <c r="O8" i="6"/>
  <c r="O7" i="6"/>
  <c r="O6" i="6"/>
  <c r="AB5" i="6" s="1"/>
  <c r="O6" i="1"/>
  <c r="P22" i="7"/>
  <c r="P21" i="7"/>
  <c r="P20" i="7"/>
  <c r="P19" i="7"/>
  <c r="P16" i="7"/>
  <c r="P15" i="7"/>
  <c r="P14" i="7"/>
  <c r="P13" i="7"/>
  <c r="P12" i="7"/>
  <c r="P11" i="7"/>
  <c r="P10" i="7"/>
  <c r="P9" i="7"/>
  <c r="P8" i="7"/>
  <c r="P7" i="7"/>
  <c r="P6" i="7"/>
  <c r="X23" i="7" s="1"/>
  <c r="F7" i="5"/>
  <c r="F9" i="8" l="1"/>
  <c r="D9" i="8" s="1"/>
  <c r="D8" i="8"/>
  <c r="D6" i="7"/>
  <c r="E6" i="7" s="1"/>
  <c r="F7" i="7"/>
  <c r="F8" i="7" s="1"/>
  <c r="D8" i="7" s="1"/>
  <c r="B23" i="7"/>
  <c r="B24" i="7" s="1"/>
  <c r="E8" i="8" l="1"/>
  <c r="F10" i="8"/>
  <c r="D10" i="8" s="1"/>
  <c r="D7" i="7"/>
  <c r="E7" i="7" s="1"/>
  <c r="E8" i="7" s="1"/>
  <c r="F9" i="7"/>
  <c r="F11" i="8" l="1"/>
  <c r="D11" i="8" s="1"/>
  <c r="E9" i="8"/>
  <c r="D9" i="7"/>
  <c r="F10" i="7"/>
  <c r="F12" i="8" l="1"/>
  <c r="E10" i="8"/>
  <c r="F11" i="7"/>
  <c r="D10" i="7"/>
  <c r="E9" i="7"/>
  <c r="D12" i="8" l="1"/>
  <c r="F13" i="8"/>
  <c r="E11" i="8"/>
  <c r="D11" i="7"/>
  <c r="F12" i="7"/>
  <c r="E10" i="7"/>
  <c r="D13" i="8" l="1"/>
  <c r="F16" i="8"/>
  <c r="D16" i="8" s="1"/>
  <c r="E12" i="8"/>
  <c r="E11" i="7"/>
  <c r="D12" i="7"/>
  <c r="F13" i="7"/>
  <c r="E13" i="8" l="1"/>
  <c r="E16" i="8" s="1"/>
  <c r="F17" i="8"/>
  <c r="D17" i="8" s="1"/>
  <c r="D13" i="7"/>
  <c r="F14" i="7"/>
  <c r="E12" i="7"/>
  <c r="E17" i="8" l="1"/>
  <c r="F18" i="8"/>
  <c r="D18" i="8" s="1"/>
  <c r="F15" i="7"/>
  <c r="D14" i="7"/>
  <c r="E13" i="7"/>
  <c r="E18" i="8" l="1"/>
  <c r="E14" i="7"/>
  <c r="F19" i="8"/>
  <c r="D19" i="8" s="1"/>
  <c r="F23" i="7"/>
  <c r="D15" i="7"/>
  <c r="D23" i="7" s="1"/>
  <c r="F16" i="7"/>
  <c r="E19" i="8" l="1"/>
  <c r="F22" i="8"/>
  <c r="E15" i="7"/>
  <c r="D16" i="7"/>
  <c r="E16" i="7" s="1"/>
  <c r="F17" i="7"/>
  <c r="D22" i="8" l="1"/>
  <c r="E22" i="8" s="1"/>
  <c r="K29" i="8" s="1"/>
  <c r="D17" i="7"/>
  <c r="E17" i="7" s="1"/>
  <c r="F20" i="7"/>
  <c r="D20" i="7" s="1"/>
  <c r="E20" i="7" s="1"/>
  <c r="D23" i="8" l="1"/>
  <c r="K30" i="8" s="1"/>
  <c r="G6" i="6"/>
  <c r="L22" i="6"/>
  <c r="L17" i="6"/>
  <c r="L16" i="6"/>
  <c r="L14" i="6"/>
  <c r="L15" i="6"/>
  <c r="L13" i="6"/>
  <c r="L12" i="6"/>
  <c r="L11" i="6"/>
  <c r="L10" i="6"/>
  <c r="L6" i="6"/>
  <c r="B26" i="6"/>
  <c r="F26" i="6" l="1"/>
  <c r="G7" i="6"/>
  <c r="K25" i="7"/>
  <c r="K26" i="7" s="1"/>
  <c r="K27" i="7" s="1"/>
  <c r="F7" i="6" l="1"/>
  <c r="F10" i="6" s="1"/>
  <c r="F11" i="6" s="1"/>
  <c r="B27" i="6"/>
  <c r="D6" i="6"/>
  <c r="E6" i="6" s="1"/>
  <c r="O15" i="5"/>
  <c r="K18" i="5"/>
  <c r="K19" i="5" s="1"/>
  <c r="K20" i="5" s="1"/>
  <c r="O7" i="5"/>
  <c r="O8" i="5"/>
  <c r="O9" i="5"/>
  <c r="O10" i="5"/>
  <c r="O11" i="5"/>
  <c r="O12" i="5"/>
  <c r="O13" i="5"/>
  <c r="O14" i="5"/>
  <c r="O6" i="5"/>
  <c r="Q16" i="5" l="1"/>
  <c r="D7" i="6"/>
  <c r="E7" i="6"/>
  <c r="D7" i="5"/>
  <c r="B16" i="5"/>
  <c r="D6" i="5"/>
  <c r="D10" i="6" l="1"/>
  <c r="E6" i="5"/>
  <c r="B17" i="5"/>
  <c r="D11" i="6" l="1"/>
  <c r="F12" i="6"/>
  <c r="E10" i="6"/>
  <c r="F8" i="5"/>
  <c r="E7" i="5"/>
  <c r="F9" i="1"/>
  <c r="F10" i="1" s="1"/>
  <c r="D6" i="1"/>
  <c r="E6" i="1" s="1"/>
  <c r="F13" i="6" l="1"/>
  <c r="D13" i="6" s="1"/>
  <c r="D12" i="6"/>
  <c r="E11" i="6"/>
  <c r="F9" i="5"/>
  <c r="D8" i="5"/>
  <c r="O12" i="1"/>
  <c r="O9" i="1"/>
  <c r="O13" i="1"/>
  <c r="O22" i="1"/>
  <c r="O19" i="1"/>
  <c r="B26" i="1"/>
  <c r="E12" i="6" l="1"/>
  <c r="F15" i="6"/>
  <c r="E8" i="5"/>
  <c r="F10" i="5"/>
  <c r="F11" i="5" s="1"/>
  <c r="F12" i="5" s="1"/>
  <c r="D9" i="5"/>
  <c r="O18" i="1"/>
  <c r="X25" i="1" s="1"/>
  <c r="AA26" i="29" s="1"/>
  <c r="O17" i="1"/>
  <c r="O16" i="1"/>
  <c r="O10" i="1"/>
  <c r="O11" i="1"/>
  <c r="B27" i="1"/>
  <c r="F14" i="6" l="1"/>
  <c r="D14" i="6" s="1"/>
  <c r="E13" i="6"/>
  <c r="E9" i="5"/>
  <c r="D10" i="5"/>
  <c r="F13" i="5"/>
  <c r="D12" i="5"/>
  <c r="D11" i="5"/>
  <c r="F13" i="1"/>
  <c r="D10" i="1"/>
  <c r="D9" i="1"/>
  <c r="D15" i="6" l="1"/>
  <c r="F16" i="6"/>
  <c r="E14" i="6"/>
  <c r="E10" i="5"/>
  <c r="E11" i="5" s="1"/>
  <c r="E12" i="5" s="1"/>
  <c r="F14" i="5"/>
  <c r="F15" i="5" s="1"/>
  <c r="D13" i="5"/>
  <c r="D13" i="1"/>
  <c r="F16" i="1"/>
  <c r="E9" i="1"/>
  <c r="E10" i="1" s="1"/>
  <c r="E15" i="6" l="1"/>
  <c r="F17" i="6"/>
  <c r="D17" i="6" s="1"/>
  <c r="D16" i="6"/>
  <c r="K30" i="7"/>
  <c r="D14" i="5"/>
  <c r="E13" i="5"/>
  <c r="F19" i="1"/>
  <c r="D16" i="1"/>
  <c r="E13" i="1"/>
  <c r="E16" i="6" l="1"/>
  <c r="E17" i="6" s="1"/>
  <c r="E14" i="5"/>
  <c r="F18" i="6"/>
  <c r="D18" i="6" s="1"/>
  <c r="F16" i="5"/>
  <c r="D15" i="5"/>
  <c r="E16" i="1"/>
  <c r="F22" i="1"/>
  <c r="D19" i="1"/>
  <c r="E18" i="6" l="1"/>
  <c r="F19" i="6"/>
  <c r="F22" i="6" s="1"/>
  <c r="D22" i="6" s="1"/>
  <c r="K29" i="7"/>
  <c r="D16" i="5"/>
  <c r="K23" i="5" s="1"/>
  <c r="E15" i="5"/>
  <c r="K22" i="5" s="1"/>
  <c r="D22" i="1"/>
  <c r="D25" i="1"/>
  <c r="E19" i="1"/>
  <c r="D19" i="6" l="1"/>
  <c r="E19" i="6" s="1"/>
  <c r="E22" i="6" s="1"/>
  <c r="D26" i="1"/>
  <c r="O33" i="1" s="1"/>
  <c r="E22" i="1"/>
  <c r="E25" i="1" s="1"/>
  <c r="O32" i="1" s="1"/>
  <c r="D26" i="6" l="1"/>
  <c r="K33" i="6" s="1"/>
  <c r="K32" i="6"/>
  <c r="E16" i="10" l="1"/>
  <c r="E17" i="10" s="1"/>
  <c r="E18" i="10" s="1"/>
  <c r="E19" i="10" s="1"/>
  <c r="E22" i="10" s="1"/>
  <c r="K29" i="10" s="1"/>
  <c r="D23" i="18"/>
  <c r="E23" i="18" l="1"/>
  <c r="K29" i="18" s="1"/>
  <c r="K30" i="18"/>
  <c r="D18" i="27" l="1"/>
  <c r="D17" i="27"/>
  <c r="D14" i="27"/>
  <c r="E14" i="27" s="1"/>
  <c r="E17" i="27" s="1"/>
  <c r="E18" i="27" s="1"/>
  <c r="D19" i="27" l="1"/>
  <c r="D20" i="27"/>
  <c r="D23" i="27" l="1"/>
  <c r="K30" i="27" s="1"/>
  <c r="E19" i="27"/>
  <c r="E20" i="27" s="1"/>
  <c r="K29" i="27" s="1"/>
  <c r="E23" i="27" l="1"/>
  <c r="D24" i="27"/>
</calcChain>
</file>

<file path=xl/sharedStrings.xml><?xml version="1.0" encoding="utf-8"?>
<sst xmlns="http://schemas.openxmlformats.org/spreadsheetml/2006/main" count="2974" uniqueCount="383">
  <si>
    <t>clamp time (min)</t>
  </si>
  <si>
    <t>cable time (min)</t>
  </si>
  <si>
    <t>total ship time (min)</t>
  </si>
  <si>
    <t>Longueur cable (m)</t>
  </si>
  <si>
    <t>Target depth (m)</t>
  </si>
  <si>
    <t>True depth (m)</t>
  </si>
  <si>
    <t>Initial Volume (L)</t>
  </si>
  <si>
    <t>Final Volume (L)</t>
  </si>
  <si>
    <t>V filtered (L)</t>
  </si>
  <si>
    <t>-</t>
  </si>
  <si>
    <t>Total (min)</t>
  </si>
  <si>
    <t>m</t>
  </si>
  <si>
    <t>Total (heure)</t>
  </si>
  <si>
    <t>TU+4</t>
  </si>
  <si>
    <t xml:space="preserve"> </t>
  </si>
  <si>
    <t>Filter Holder</t>
  </si>
  <si>
    <t>ISP name</t>
  </si>
  <si>
    <r>
      <t>cable speed (m s</t>
    </r>
    <r>
      <rPr>
        <b/>
        <vertAlign val="superscript"/>
        <sz val="16"/>
        <rFont val="Arial"/>
        <family val="2"/>
      </rPr>
      <t>-1</t>
    </r>
    <r>
      <rPr>
        <b/>
        <sz val="16"/>
        <rFont val="Arial"/>
        <family val="2"/>
      </rPr>
      <t>)</t>
    </r>
  </si>
  <si>
    <t>Longeur totale filée</t>
  </si>
  <si>
    <t>ISPCa3</t>
  </si>
  <si>
    <t>FH HM2</t>
  </si>
  <si>
    <t>ISPCa2</t>
  </si>
  <si>
    <t>FHML1</t>
  </si>
  <si>
    <t>PIS021</t>
  </si>
  <si>
    <t>PIS021 FH1 + PIS021 FH2</t>
  </si>
  <si>
    <t>ISPCa6</t>
  </si>
  <si>
    <t>FH ML3</t>
  </si>
  <si>
    <t>PIS020</t>
  </si>
  <si>
    <t>PIS020 FH1 + PIS020 FH2</t>
  </si>
  <si>
    <t>ISPCa7</t>
  </si>
  <si>
    <t>FH ML02</t>
  </si>
  <si>
    <t>ISPCa4</t>
  </si>
  <si>
    <t>FH HM1</t>
  </si>
  <si>
    <t>FH2:</t>
  </si>
  <si>
    <t>FH1:</t>
  </si>
  <si>
    <t>EXH:</t>
  </si>
  <si>
    <t>Station:</t>
  </si>
  <si>
    <t>MRB</t>
  </si>
  <si>
    <t>Cast ISO</t>
  </si>
  <si>
    <t>HP + NL</t>
  </si>
  <si>
    <t xml:space="preserve">L-E. H. </t>
  </si>
  <si>
    <t>FP</t>
  </si>
  <si>
    <t>CJ</t>
  </si>
  <si>
    <t>Cast TM</t>
  </si>
  <si>
    <t>PvB</t>
  </si>
  <si>
    <t>Pump start date:</t>
  </si>
  <si>
    <t>Pump end date:</t>
  </si>
  <si>
    <t>Pump onboard:</t>
  </si>
  <si>
    <t>Comment</t>
  </si>
  <si>
    <t>Total recovery time (min)</t>
  </si>
  <si>
    <t>Total deployment (min)</t>
  </si>
  <si>
    <t>Hauteur de la bordée:</t>
  </si>
  <si>
    <t>Remarques:</t>
  </si>
  <si>
    <t>TU</t>
  </si>
  <si>
    <t>x</t>
  </si>
  <si>
    <t xml:space="preserve"> + joli filtre de la station!</t>
  </si>
  <si>
    <t>ISP Name</t>
  </si>
  <si>
    <t>ISPCa 3</t>
  </si>
  <si>
    <t>ISPCa 2</t>
  </si>
  <si>
    <t>ISPCa 6</t>
  </si>
  <si>
    <t>ISPCa 7</t>
  </si>
  <si>
    <t>ISPCa 4</t>
  </si>
  <si>
    <t>FH ML1</t>
  </si>
  <si>
    <t>FH ML2</t>
  </si>
  <si>
    <t>SUPOR</t>
  </si>
  <si>
    <t>QMA</t>
  </si>
  <si>
    <t>Filter Type</t>
  </si>
  <si>
    <t>PIS011</t>
  </si>
  <si>
    <t>PIS012</t>
  </si>
  <si>
    <t>PIS013</t>
  </si>
  <si>
    <t>PIS007</t>
  </si>
  <si>
    <t>PIS009</t>
  </si>
  <si>
    <t>PIS010</t>
  </si>
  <si>
    <t xml:space="preserve">PIS020 FH1 </t>
  </si>
  <si>
    <t>PIS020 FH2</t>
  </si>
  <si>
    <t xml:space="preserve">PIS021 FH1 </t>
  </si>
  <si>
    <t>PIS021 FH2</t>
  </si>
  <si>
    <t>FH HM3</t>
  </si>
  <si>
    <t>FH HM5</t>
  </si>
  <si>
    <t>FH HM6</t>
  </si>
  <si>
    <t>FH HM7</t>
  </si>
  <si>
    <t>FH HM8</t>
  </si>
  <si>
    <t>filtre déchiré! Faut il poser le filtre sur les quadrillages?</t>
  </si>
  <si>
    <t>Filter type</t>
  </si>
  <si>
    <t>FH HM Spare 1</t>
  </si>
  <si>
    <t>Spare material</t>
  </si>
  <si>
    <t>frits</t>
  </si>
  <si>
    <t>system to keep tubes (3D printed)</t>
  </si>
  <si>
    <t>rings (3D printed) for diff shelves</t>
  </si>
  <si>
    <t>grilles sous fritet</t>
  </si>
  <si>
    <t>étages &amp; joints</t>
  </si>
  <si>
    <t>grilles blanches</t>
  </si>
  <si>
    <t>grilles (3D printed)</t>
  </si>
  <si>
    <t>top part (avec tubes)</t>
  </si>
  <si>
    <r>
      <t xml:space="preserve">*Fred and Edwin prefer to use </t>
    </r>
    <r>
      <rPr>
        <sz val="11"/>
        <color rgb="FFFF0000"/>
        <rFont val="Calibri"/>
        <family val="2"/>
        <scheme val="minor"/>
      </rPr>
      <t>home made heads &amp; the double heads</t>
    </r>
  </si>
  <si>
    <t>Pump at sea:</t>
  </si>
  <si>
    <t>Lat:</t>
  </si>
  <si>
    <t>Long:</t>
  </si>
  <si>
    <t>ISP order</t>
  </si>
  <si>
    <t>°S</t>
  </si>
  <si>
    <t>°E</t>
  </si>
  <si>
    <t>SWG_01_003_p</t>
  </si>
  <si>
    <t>Onboard time</t>
  </si>
  <si>
    <t>Date</t>
  </si>
  <si>
    <t>FH ML 2</t>
  </si>
  <si>
    <t>FH ML 3</t>
  </si>
  <si>
    <t>1 plat + 2 creux</t>
  </si>
  <si>
    <t>FH ML 1</t>
  </si>
  <si>
    <t>2 plats + 1 creux</t>
  </si>
  <si>
    <t>Etages dans les tetes Mac Lane</t>
  </si>
  <si>
    <t>2 plats + 1 creux pour FH1 (Supor) &amp; 3 plats pour FH2 (QMA)</t>
  </si>
  <si>
    <t>2 plats + 1 creux pour chaque tete</t>
  </si>
  <si>
    <t>all HM</t>
  </si>
  <si>
    <t>3 plats</t>
  </si>
  <si>
    <t>Ra</t>
  </si>
  <si>
    <t>x1</t>
  </si>
  <si>
    <t>P1/P2/QMA</t>
  </si>
  <si>
    <t>FH HM4</t>
  </si>
  <si>
    <t>PIS 009</t>
  </si>
  <si>
    <t>PIS 012</t>
  </si>
  <si>
    <t>PIS 011</t>
  </si>
  <si>
    <t>PIS 013</t>
  </si>
  <si>
    <t>PIS 007</t>
  </si>
  <si>
    <t>PIS 010</t>
  </si>
  <si>
    <t>Pas de porte cartouche</t>
  </si>
  <si>
    <t>embout en coin (sur pompe). Pas de porte cartouche</t>
  </si>
  <si>
    <t>HM2</t>
  </si>
  <si>
    <t>HM1</t>
  </si>
  <si>
    <t>ML3</t>
  </si>
  <si>
    <t>ML2</t>
  </si>
  <si>
    <t>HM6</t>
  </si>
  <si>
    <t>HM7</t>
  </si>
  <si>
    <t>HM8</t>
  </si>
  <si>
    <t>HM3</t>
  </si>
  <si>
    <t>HM4</t>
  </si>
  <si>
    <t>HM5</t>
  </si>
  <si>
    <t>Bottom Depth:</t>
  </si>
  <si>
    <t>Mn cart.</t>
  </si>
  <si>
    <t>Pompé à l'invers</t>
  </si>
  <si>
    <t>Pompé à l'envers</t>
  </si>
  <si>
    <t>x2</t>
  </si>
  <si>
    <t>30°17.999</t>
  </si>
  <si>
    <t>32°48.004</t>
  </si>
  <si>
    <t>Initial Volume (m3)</t>
  </si>
  <si>
    <t>Final Volume (m3)</t>
  </si>
  <si>
    <t>Deployment start time</t>
  </si>
  <si>
    <t>Cast ISO: CJ, MRB, PvB</t>
  </si>
  <si>
    <t>ok</t>
  </si>
  <si>
    <t>M. Saito</t>
  </si>
  <si>
    <t>ML1</t>
  </si>
  <si>
    <t>FH1</t>
  </si>
  <si>
    <t>FH2</t>
  </si>
  <si>
    <t>Petex: beaucoup d'eau - peu de particules</t>
  </si>
  <si>
    <t>Pas super homogène</t>
  </si>
  <si>
    <t xml:space="preserve">Petex 50um: directement sous les tubes du haut de tete. Petex 5um: perte de particules sur la planche (beaucoup d'eau) </t>
  </si>
  <si>
    <t>Bestiole translucide visible (n'a pas l'air méchante ;) )</t>
  </si>
  <si>
    <t>taches blanches</t>
  </si>
  <si>
    <t>PIS 020</t>
  </si>
  <si>
    <t>PIS021 FH1</t>
  </si>
  <si>
    <t>PIS 020 FH1</t>
  </si>
  <si>
    <t>PIS 020 FH2</t>
  </si>
  <si>
    <t>Pieter</t>
  </si>
  <si>
    <t>Fred/Nolwenn</t>
  </si>
  <si>
    <t>Nolwenn</t>
  </si>
  <si>
    <t>Fred</t>
  </si>
  <si>
    <t>SWG_03_013_P</t>
  </si>
  <si>
    <t>SWG_03_009_P</t>
  </si>
  <si>
    <t>SWG_04_016_P</t>
  </si>
  <si>
    <t>Temps additionel pour déployer le carottier</t>
  </si>
  <si>
    <t>min</t>
  </si>
  <si>
    <t>PIS 021 +TLOG</t>
  </si>
  <si>
    <t>PIS 011 +TLOG</t>
  </si>
  <si>
    <t>Pieter. Besoin d'une grande vis en nylon (pas une petite)</t>
  </si>
  <si>
    <t>1ère pompe à l'eau : 13:55</t>
  </si>
  <si>
    <t>Dernière pompe à l'eau 14:55</t>
  </si>
  <si>
    <t>Pieter. Tête de filtre ouverte sur le pont pour remplacer le joint + bestiole gélatineuse</t>
  </si>
  <si>
    <t>Fred. Répartition non homogène des particules sur le 50 micron</t>
  </si>
  <si>
    <t>Fred/Nolwenn: Max Chloro. FH2 : filament marron sur la tête, organisme sur filtre</t>
  </si>
  <si>
    <t>DC</t>
  </si>
  <si>
    <t>EXH</t>
  </si>
  <si>
    <t>bottom depth</t>
  </si>
  <si>
    <t>29°48.595</t>
  </si>
  <si>
    <t>31°41.762</t>
  </si>
  <si>
    <t>QMA Hg</t>
  </si>
  <si>
    <t>IO</t>
  </si>
  <si>
    <t>SWG_11_030_P</t>
  </si>
  <si>
    <t>PIS007 + TLOG</t>
  </si>
  <si>
    <t>PIS012 + TLOG</t>
  </si>
  <si>
    <t>PIS 021</t>
  </si>
  <si>
    <t>min O2</t>
  </si>
  <si>
    <t xml:space="preserve">PIS 009 </t>
  </si>
  <si>
    <t>SWG_11_035_P</t>
  </si>
  <si>
    <t>Cast ISO + Hg</t>
  </si>
  <si>
    <t xml:space="preserve">ISPCa 4 </t>
  </si>
  <si>
    <t>PIS 010 + TLOG</t>
  </si>
  <si>
    <t>Pb lumière pont (spot à grillé): plein de poussière du câble sur l'ISP</t>
  </si>
  <si>
    <t>Pas homogène: leach eau?</t>
  </si>
  <si>
    <t>PHOTOS microscope de bouts de filtre avec HUGO (70m, fond + bestiole 1550m)</t>
  </si>
  <si>
    <t>Chl max; FH1 remplie d'eau; Tache noire sur le QMA</t>
  </si>
  <si>
    <t>39°48.048</t>
  </si>
  <si>
    <t>36°21.162</t>
  </si>
  <si>
    <t>Fond très variable</t>
  </si>
  <si>
    <t>36°21,162</t>
  </si>
  <si>
    <t>vanne toujours avec le QMA en FH2</t>
  </si>
  <si>
    <t xml:space="preserve">FH1 </t>
  </si>
  <si>
    <t>X2</t>
  </si>
  <si>
    <t>SWG_14_043_P</t>
  </si>
  <si>
    <t>X1</t>
  </si>
  <si>
    <t>Petite bestiole gélatineuse</t>
  </si>
  <si>
    <t>Petite bestiole gélatineuse (on l'a enlevé pour observation au microscope)</t>
  </si>
  <si>
    <t>Plein d'algues sur la tete</t>
  </si>
  <si>
    <t>Pas homogène: leach eau? Plein d'algues sur la tete</t>
  </si>
  <si>
    <t>70m: les petits traits noirs sur photo de filtre sont des pelletes fecales</t>
  </si>
  <si>
    <t>SUPOR/NL HP</t>
  </si>
  <si>
    <t>QMA/Natalia</t>
  </si>
  <si>
    <t>SUPOR/PBV</t>
  </si>
  <si>
    <t>SUPOR PVB</t>
  </si>
  <si>
    <t>SUPOR/PVB</t>
  </si>
  <si>
    <t>SUPOR/NLHP</t>
  </si>
  <si>
    <t>SUPOR/ NL HP</t>
  </si>
  <si>
    <t>SWG_15_045_P</t>
  </si>
  <si>
    <t>Pas de carotte de sédiment</t>
  </si>
  <si>
    <t>2 taches blanches étirées</t>
  </si>
  <si>
    <t>SUPOR NL/HP</t>
  </si>
  <si>
    <t>44°51.177</t>
  </si>
  <si>
    <t>36°13.841</t>
  </si>
  <si>
    <t>PIS011: mettre un QMA pour comparer volume entrée et volume sortie des pompes</t>
  </si>
  <si>
    <t xml:space="preserve">  </t>
  </si>
  <si>
    <t>ISPCa2 + TLOG</t>
  </si>
  <si>
    <t>PIS009 + TLOG</t>
  </si>
  <si>
    <t>SWG_21_056_P</t>
  </si>
  <si>
    <t>Pas de carotte de sédiment récupérée</t>
  </si>
  <si>
    <t>Vctest initial=105.351</t>
  </si>
  <si>
    <t>MS</t>
  </si>
  <si>
    <t>petites bestioles gélatineuses (enlevées)</t>
  </si>
  <si>
    <t>plein de biologie!</t>
  </si>
  <si>
    <t>2 petites bestioles enlevées</t>
  </si>
  <si>
    <t>46°35.975</t>
  </si>
  <si>
    <t>37°46.81</t>
  </si>
  <si>
    <t>SWG_25_066_P</t>
  </si>
  <si>
    <t>QMA/P1/P2</t>
  </si>
  <si>
    <t>Chl-a max</t>
  </si>
  <si>
    <t>max salinity</t>
  </si>
  <si>
    <t>carottier</t>
  </si>
  <si>
    <t>bottom -50</t>
  </si>
  <si>
    <t>SWG_25_070_P</t>
  </si>
  <si>
    <t>ISPCa 6 + TLOG</t>
  </si>
  <si>
    <t>Pompe à déployer sans remplir d'eau pour voir si elle se déclenche</t>
  </si>
  <si>
    <t>Carottier: carotte de sédiment prélevé (couleur blanche/grise)</t>
  </si>
  <si>
    <t>Bestoile (approx. 1cm; enlevée). RIP.</t>
  </si>
  <si>
    <t>Tache rouge (enlevée). RIP bis</t>
  </si>
  <si>
    <t>Organismes sur le 5µm</t>
  </si>
  <si>
    <t>Beaucoup d'eau sous le 5µm</t>
  </si>
  <si>
    <t>Bestiole (enlevée)</t>
  </si>
  <si>
    <t>raté</t>
  </si>
  <si>
    <t>47°18.458</t>
  </si>
  <si>
    <t>43°06.498</t>
  </si>
  <si>
    <t>47°17.98</t>
  </si>
  <si>
    <t>43°06.1</t>
  </si>
  <si>
    <t>44°51.699</t>
  </si>
  <si>
    <t>36°10.463</t>
  </si>
  <si>
    <t>Filtre QMA déchiré au milieu</t>
  </si>
  <si>
    <t>SWG_31_081_P</t>
  </si>
  <si>
    <t>X</t>
  </si>
  <si>
    <t>Fond</t>
  </si>
  <si>
    <t>Surface</t>
  </si>
  <si>
    <t>Min O2</t>
  </si>
  <si>
    <t>Max Chla</t>
  </si>
  <si>
    <t>Max salinité</t>
  </si>
  <si>
    <t>SWG_33_086_P</t>
  </si>
  <si>
    <t>SWG_33_089_P</t>
  </si>
  <si>
    <t>Fond. 2 petites bestioles (enlevées)</t>
  </si>
  <si>
    <t>Masse d'eau N°2: max salinité. Trace d'organisme écrasé</t>
  </si>
  <si>
    <t>Traces blanches</t>
  </si>
  <si>
    <t>Min O2. Petite bestiole (enlevée)</t>
  </si>
  <si>
    <t>Surface. Beaucoup d'eau dans la tete+filtre très chargé: perdu un peu de matériel</t>
  </si>
  <si>
    <t>Surface. Tout semble okay sur le filtre (pas folement chargé) mais pourquoi ce faible volume de filtration?</t>
  </si>
  <si>
    <t>°N</t>
  </si>
  <si>
    <t>SUPOR CJ</t>
  </si>
  <si>
    <t>SUPOR HP</t>
  </si>
  <si>
    <t>Max Chl-a</t>
  </si>
  <si>
    <t>Max salinity. ISP qui n'a pas pompé à la dernière cast</t>
  </si>
  <si>
    <t>SWG_36_096_P</t>
  </si>
  <si>
    <t>ISPCa3 + TLOG</t>
  </si>
  <si>
    <t>PIS010 + TLOG</t>
  </si>
  <si>
    <t xml:space="preserve">Fond. 2 filtres collés l'un sur l'autre </t>
  </si>
  <si>
    <t>Taches marrons-verts localisées</t>
  </si>
  <si>
    <t>Max salinity. Bout de plastique sur le filtre (enlevé. Venant des tubes de la tete de pompe?)</t>
  </si>
  <si>
    <t>Min O2. Taches blanches</t>
  </si>
  <si>
    <t>Min O2. Filtre okay alors que la pompe avait le message "sudden pressure release"</t>
  </si>
  <si>
    <t>Tete ouverte sur le pont car joint mal mis</t>
  </si>
  <si>
    <t>SWG_38_104_P</t>
  </si>
  <si>
    <t xml:space="preserve">DISCONNETED </t>
  </si>
  <si>
    <t>traces blanches . A l'air okay par rapport au tuyau mal fixé</t>
  </si>
  <si>
    <t>Plein de mini bestioles (donné échantillon à Hugo pour check au microscope)</t>
  </si>
  <si>
    <t>Plein de filaments (pelètes fécales)</t>
  </si>
  <si>
    <t>P1: filtre pas homogène</t>
  </si>
  <si>
    <t>Max Chl-a. Filaments sombres (pelètes fécales?)</t>
  </si>
  <si>
    <r>
      <t xml:space="preserve">Pas de restes pour CJ - ça a été donné à Nolwenn pour </t>
    </r>
    <r>
      <rPr>
        <sz val="24"/>
        <color theme="1"/>
        <rFont val="Arial"/>
        <family val="2"/>
      </rPr>
      <t>δ</t>
    </r>
    <r>
      <rPr>
        <sz val="24"/>
        <color theme="1"/>
        <rFont val="Calibri"/>
        <family val="2"/>
      </rPr>
      <t>60Ni</t>
    </r>
  </si>
  <si>
    <t>ISPCa7 + TLOG</t>
  </si>
  <si>
    <t>SWG_42_113_P</t>
  </si>
  <si>
    <t>Fond. N'a pompé que 20L -&gt; filtre blanc</t>
  </si>
  <si>
    <t>Bestiole noire et dure -&gt; coquille ? (enlevée)</t>
  </si>
  <si>
    <t>traces blanches</t>
  </si>
  <si>
    <t>QMA craqué au milieu</t>
  </si>
  <si>
    <t>Winter water (temperature &lt; 2°C). Taches blanches</t>
  </si>
  <si>
    <t>Max Chl-a. QMA craqué</t>
  </si>
  <si>
    <t>Petite bestiole (enlevée)</t>
  </si>
  <si>
    <t>Surface. 2 bestioles (enlevée)</t>
  </si>
  <si>
    <r>
      <t>Plein d'eau (perte sur le 5</t>
    </r>
    <r>
      <rPr>
        <sz val="16"/>
        <color theme="1"/>
        <rFont val="Times New Roman"/>
        <family val="1"/>
      </rPr>
      <t>µ</t>
    </r>
    <r>
      <rPr>
        <sz val="16"/>
        <color theme="1"/>
        <rFont val="Arial"/>
        <family val="2"/>
      </rPr>
      <t xml:space="preserve">m) &amp; 50 </t>
    </r>
    <r>
      <rPr>
        <sz val="16"/>
        <color theme="1"/>
        <rFont val="Times New Roman"/>
        <family val="1"/>
      </rPr>
      <t>µ</t>
    </r>
    <r>
      <rPr>
        <sz val="16"/>
        <color theme="1"/>
        <rFont val="Arial"/>
        <family val="2"/>
      </rPr>
      <t>m pas homogène &amp; QMA craqué</t>
    </r>
  </si>
  <si>
    <t>succès!</t>
  </si>
  <si>
    <t>max chloro à vérifier</t>
  </si>
  <si>
    <t>winter water à vérifier</t>
  </si>
  <si>
    <t>ISPCa7+ TLOG</t>
  </si>
  <si>
    <t>SWG_44_119_P</t>
  </si>
  <si>
    <t>TU = LT-5</t>
  </si>
  <si>
    <t>Pas de carottier</t>
  </si>
  <si>
    <t xml:space="preserve"> + filtre blanc</t>
  </si>
  <si>
    <t>winter water. Taches blanches</t>
  </si>
  <si>
    <t>Pleine d'eau -&gt; perte de materiel au 5 µm</t>
  </si>
  <si>
    <r>
      <t xml:space="preserve">Pleine d'eau -&gt; perte de materiel au 50 et 5 µm. 2 filtres Petex 5 </t>
    </r>
    <r>
      <rPr>
        <sz val="16"/>
        <color theme="1"/>
        <rFont val="Times New Roman"/>
        <family val="1"/>
      </rPr>
      <t>µ</t>
    </r>
    <r>
      <rPr>
        <sz val="16"/>
        <color theme="1"/>
        <rFont val="Arial"/>
        <family val="2"/>
      </rPr>
      <t>m (utilisé comme blanc)</t>
    </r>
  </si>
  <si>
    <t>max de chloro.  + filtre blanc</t>
  </si>
  <si>
    <t>Beaucoup de petites bestioles roses sur le 50 µm.</t>
  </si>
  <si>
    <t>ISP Ca2 a deployer tranquilou</t>
  </si>
  <si>
    <t xml:space="preserve">PIS 010 </t>
  </si>
  <si>
    <t>Bottom-30</t>
  </si>
  <si>
    <t>minO2</t>
  </si>
  <si>
    <t>SWG_47_129_P</t>
  </si>
  <si>
    <t>winter water</t>
  </si>
  <si>
    <t xml:space="preserve">Carottier: </t>
  </si>
  <si>
    <t>SWG_47_132_P</t>
  </si>
  <si>
    <t>PIS011 + TLOG</t>
  </si>
  <si>
    <t>MIN</t>
  </si>
  <si>
    <t>minT WW</t>
  </si>
  <si>
    <t>Jolie carotte de sédiments</t>
  </si>
  <si>
    <t>a pompé 35 L</t>
  </si>
  <si>
    <t>plein d'eau</t>
  </si>
  <si>
    <t>Particules hétérogènes sur les 2 petex</t>
  </si>
  <si>
    <t>grosses tâches vertes et petites tâches roses</t>
  </si>
  <si>
    <t>Peu pompé, mais filtre peu chargé</t>
  </si>
  <si>
    <t>SUPOR HP/NL/DC (ISPCa 2 n'a pas fonctionné au cast 129). Triplicat pour Damien</t>
  </si>
  <si>
    <t xml:space="preserve">SUPOR HP/NL/DC (ISPCa 2 n'a pas fonctionné au cast 129). </t>
  </si>
  <si>
    <t xml:space="preserve"> + blanc</t>
  </si>
  <si>
    <t>Peu pompé, mais filtre peu chargé. + Blanc</t>
  </si>
  <si>
    <t>Max Chl-a. + blanc</t>
  </si>
  <si>
    <t>triplicat pour HP &amp; NL</t>
  </si>
  <si>
    <t>triplicat pour HP &amp; NL. Organisme écrasé, pas découpé</t>
  </si>
  <si>
    <t>triplicat sample pour HP &amp; NL + blanc (triplicat aussi pour HP &amp; NL). Filtre très blanc</t>
  </si>
  <si>
    <t>SWG_58_145_P</t>
  </si>
  <si>
    <t>SWG_58_149_P</t>
  </si>
  <si>
    <t>ISPCa 7 + TLOG</t>
  </si>
  <si>
    <t xml:space="preserve">PIS007 </t>
  </si>
  <si>
    <t>Masse d'eau</t>
  </si>
  <si>
    <t>Masse d'eau/ 2 copépodes transparents</t>
  </si>
  <si>
    <t>masse d'eau/ 1 copépode + 1 larve + 3 à 4 boules gélatineuses + 1 bébé crustacé</t>
  </si>
  <si>
    <t>Max Chl-a/ copépodes et un bébé crevette</t>
  </si>
  <si>
    <r>
      <t xml:space="preserve">A POMPE/ </t>
    </r>
    <r>
      <rPr>
        <sz val="14"/>
        <color theme="1"/>
        <rFont val="Calibri"/>
        <family val="2"/>
        <scheme val="minor"/>
      </rPr>
      <t>tâches brunes plus foncées pas homogènes</t>
    </r>
  </si>
  <si>
    <t>Be</t>
  </si>
  <si>
    <t>Max S</t>
  </si>
  <si>
    <t>Be. Valve restée fermée</t>
  </si>
  <si>
    <t>Be. Message d'erreur sur la pompe</t>
  </si>
  <si>
    <t>boule gélatineuse</t>
  </si>
  <si>
    <t>Be/ tâche blanche plus filaments marrons (pelotes fécales ?)</t>
  </si>
  <si>
    <t>Be/ organisme en entonnoir (coquille ?) avec truc noir dedans</t>
  </si>
  <si>
    <t>Be/ colonie de microrganismes : points noirs sur tâches blanches (cf photo)</t>
  </si>
  <si>
    <t>Be/ nombreuses tâches blanches + tâches allongées blanches</t>
  </si>
  <si>
    <t>Be + blanc</t>
  </si>
  <si>
    <t>Be/blanc + particule noire (plastique ?)</t>
  </si>
  <si>
    <t>Be/boule gélatineuse</t>
  </si>
  <si>
    <t>WW vérifiée</t>
  </si>
  <si>
    <t>SWG_68_171_P</t>
  </si>
  <si>
    <t>total volume pumped SWINGS</t>
  </si>
  <si>
    <t>Number of pumps</t>
  </si>
  <si>
    <t>Nombre de t^te</t>
  </si>
  <si>
    <t>m parcourus en diable</t>
  </si>
  <si>
    <t>heures de pompages</t>
  </si>
  <si>
    <t xml:space="preserve"> + blanc. Filtre bien chargé</t>
  </si>
  <si>
    <t xml:space="preserve"> + blanc. Gros crustacé (agonisant..)</t>
  </si>
  <si>
    <t>taches blanches rondes et allongées</t>
  </si>
  <si>
    <t>1 gros copépode</t>
  </si>
  <si>
    <t>pleine d'eau</t>
  </si>
  <si>
    <t>test, à déployer avec tendresse. + Blanc</t>
  </si>
  <si>
    <t>Jolie carotte!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</si>
</sst>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h:mm;@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vertAlign val="superscript"/>
      <sz val="16"/>
      <name val="Arial"/>
      <family val="2"/>
    </font>
    <font>
      <sz val="14"/>
      <color theme="1"/>
      <name val="Calibri"/>
      <family val="2"/>
      <scheme val="minor"/>
    </font>
    <font>
      <b/>
      <sz val="18"/>
      <name val="Arial"/>
      <family val="2"/>
    </font>
    <font>
      <b/>
      <sz val="26"/>
      <name val="Arial"/>
      <family val="2"/>
    </font>
    <font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name val="Arial"/>
      <family val="2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24"/>
      <name val="Arial"/>
      <family val="2"/>
    </font>
    <font>
      <b/>
      <sz val="24"/>
      <color theme="1"/>
      <name val="Arial"/>
      <family val="2"/>
    </font>
    <font>
      <b/>
      <sz val="24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b/>
      <sz val="26"/>
      <color rgb="FFFF0000"/>
      <name val="Arial"/>
      <family val="2"/>
    </font>
    <font>
      <sz val="20"/>
      <name val="Arial"/>
      <family val="2"/>
    </font>
    <font>
      <sz val="8"/>
      <name val="Calibri"/>
      <family val="2"/>
      <scheme val="minor"/>
    </font>
    <font>
      <sz val="22"/>
      <name val="Arial"/>
      <family val="2"/>
    </font>
    <font>
      <sz val="24"/>
      <color theme="1"/>
      <name val="Calibri"/>
      <family val="2"/>
      <scheme val="minor"/>
    </font>
    <font>
      <sz val="24"/>
      <name val="Arial"/>
      <family val="2"/>
    </font>
    <font>
      <sz val="24"/>
      <color theme="1"/>
      <name val="Arial"/>
      <family val="2"/>
    </font>
    <font>
      <sz val="16"/>
      <color theme="1"/>
      <name val="Arial"/>
      <family val="2"/>
    </font>
    <font>
      <b/>
      <sz val="20"/>
      <name val="Arial"/>
      <family val="2"/>
    </font>
    <font>
      <sz val="22"/>
      <color theme="1"/>
      <name val="Arial"/>
      <family val="2"/>
    </font>
    <font>
      <sz val="1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6"/>
      <color rgb="FFFF0000"/>
      <name val="Arial"/>
      <family val="2"/>
    </font>
    <font>
      <sz val="22"/>
      <color theme="1"/>
      <name val="Calibri"/>
      <family val="2"/>
      <scheme val="minor"/>
    </font>
    <font>
      <sz val="16"/>
      <name val="Calibri"/>
      <family val="2"/>
      <scheme val="minor"/>
    </font>
    <font>
      <sz val="20"/>
      <color theme="1"/>
      <name val="Arial"/>
      <family val="2"/>
    </font>
    <font>
      <sz val="14"/>
      <color theme="1"/>
      <name val="Calibri"/>
      <family val="2"/>
    </font>
    <font>
      <b/>
      <sz val="22"/>
      <color theme="1"/>
      <name val="Arial"/>
      <family val="2"/>
    </font>
    <font>
      <sz val="24"/>
      <color theme="1"/>
      <name val="Calibri"/>
      <family val="2"/>
    </font>
    <font>
      <b/>
      <sz val="14"/>
      <color rgb="FF0070C0"/>
      <name val="Arial"/>
      <family val="2"/>
    </font>
    <font>
      <sz val="16"/>
      <color theme="1"/>
      <name val="Times New Roman"/>
      <family val="1"/>
    </font>
    <font>
      <b/>
      <sz val="26"/>
      <color theme="1"/>
      <name val="Calibri"/>
      <family val="2"/>
      <scheme val="minor"/>
    </font>
    <font>
      <b/>
      <sz val="26"/>
      <color theme="1"/>
      <name val="Arial"/>
      <family val="2"/>
    </font>
    <font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19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0" borderId="2" xfId="1" applyFont="1" applyBorder="1" applyAlignment="1">
      <alignment horizontal="center" vertical="center" wrapText="1"/>
    </xf>
    <xf numFmtId="0" fontId="4" fillId="0" borderId="0" xfId="1" applyFont="1"/>
    <xf numFmtId="0" fontId="8" fillId="0" borderId="0" xfId="0" applyFont="1"/>
    <xf numFmtId="0" fontId="5" fillId="0" borderId="0" xfId="1" applyFont="1"/>
    <xf numFmtId="0" fontId="6" fillId="0" borderId="0" xfId="1" applyFont="1"/>
    <xf numFmtId="14" fontId="5" fillId="0" borderId="0" xfId="1" applyNumberFormat="1" applyFont="1"/>
    <xf numFmtId="20" fontId="5" fillId="0" borderId="0" xfId="1" applyNumberFormat="1" applyFont="1"/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2" fontId="5" fillId="0" borderId="0" xfId="1" applyNumberFormat="1" applyFont="1"/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4" fontId="13" fillId="0" borderId="1" xfId="1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0" fillId="0" borderId="0" xfId="0" applyBorder="1"/>
    <xf numFmtId="0" fontId="0" fillId="0" borderId="9" xfId="0" applyBorder="1"/>
    <xf numFmtId="0" fontId="5" fillId="0" borderId="17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20" fontId="13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14" fontId="10" fillId="0" borderId="0" xfId="1" applyNumberFormat="1" applyFont="1" applyAlignment="1">
      <alignment wrapText="1"/>
    </xf>
    <xf numFmtId="14" fontId="10" fillId="0" borderId="0" xfId="1" applyNumberFormat="1" applyFont="1" applyAlignment="1">
      <alignment horizontal="left"/>
    </xf>
    <xf numFmtId="0" fontId="6" fillId="2" borderId="3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2" fillId="0" borderId="0" xfId="1" applyFont="1" applyAlignment="1">
      <alignment horizontal="left"/>
    </xf>
    <xf numFmtId="0" fontId="22" fillId="0" borderId="0" xfId="1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1" applyFont="1" applyAlignment="1">
      <alignment horizontal="right"/>
    </xf>
    <xf numFmtId="0" fontId="25" fillId="0" borderId="1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1" applyFont="1" applyBorder="1" applyAlignment="1">
      <alignment vertical="center" wrapText="1"/>
    </xf>
    <xf numFmtId="0" fontId="5" fillId="0" borderId="0" xfId="1" applyFont="1" applyBorder="1" applyAlignment="1">
      <alignment horizontal="center"/>
    </xf>
    <xf numFmtId="0" fontId="27" fillId="0" borderId="0" xfId="1" applyFont="1"/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 applyProtection="1">
      <alignment horizontal="center" vertical="center" wrapText="1"/>
      <protection locked="0"/>
    </xf>
    <xf numFmtId="164" fontId="5" fillId="0" borderId="12" xfId="1" applyNumberFormat="1" applyFont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5" fillId="0" borderId="12" xfId="1" applyFont="1" applyBorder="1" applyAlignment="1">
      <alignment horizontal="center" vertical="center"/>
    </xf>
    <xf numFmtId="14" fontId="28" fillId="0" borderId="0" xfId="1" applyNumberFormat="1" applyFont="1"/>
    <xf numFmtId="0" fontId="15" fillId="0" borderId="0" xfId="0" applyFont="1"/>
    <xf numFmtId="1" fontId="28" fillId="0" borderId="0" xfId="1" applyNumberFormat="1" applyFont="1"/>
    <xf numFmtId="0" fontId="28" fillId="0" borderId="0" xfId="1" applyFont="1"/>
    <xf numFmtId="20" fontId="21" fillId="0" borderId="1" xfId="0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20" fontId="13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11" fillId="0" borderId="0" xfId="0" applyFont="1" applyBorder="1" applyAlignment="1"/>
    <xf numFmtId="0" fontId="12" fillId="0" borderId="0" xfId="0" applyFont="1" applyFill="1" applyBorder="1" applyAlignment="1">
      <alignment horizontal="center" vertical="center"/>
    </xf>
    <xf numFmtId="0" fontId="0" fillId="0" borderId="1" xfId="0" applyBorder="1"/>
    <xf numFmtId="0" fontId="5" fillId="0" borderId="3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/>
    </xf>
    <xf numFmtId="0" fontId="30" fillId="0" borderId="5" xfId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1" fontId="6" fillId="2" borderId="12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31" fillId="0" borderId="0" xfId="0" applyFont="1"/>
    <xf numFmtId="14" fontId="32" fillId="0" borderId="0" xfId="1" applyNumberFormat="1" applyFont="1"/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 wrapText="1"/>
    </xf>
    <xf numFmtId="1" fontId="5" fillId="0" borderId="12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1" fontId="6" fillId="2" borderId="14" xfId="1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0" fillId="0" borderId="14" xfId="1" applyFont="1" applyBorder="1" applyAlignment="1">
      <alignment horizontal="center" vertical="center"/>
    </xf>
    <xf numFmtId="0" fontId="30" fillId="0" borderId="16" xfId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34" fillId="0" borderId="14" xfId="0" applyFont="1" applyBorder="1" applyAlignment="1">
      <alignment vertical="center"/>
    </xf>
    <xf numFmtId="0" fontId="34" fillId="0" borderId="12" xfId="0" applyFont="1" applyBorder="1" applyAlignment="1">
      <alignment vertical="center"/>
    </xf>
    <xf numFmtId="0" fontId="34" fillId="0" borderId="25" xfId="0" applyFont="1" applyBorder="1" applyAlignment="1">
      <alignment vertical="center"/>
    </xf>
    <xf numFmtId="0" fontId="34" fillId="0" borderId="14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5" fillId="0" borderId="14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/>
    </xf>
    <xf numFmtId="0" fontId="28" fillId="0" borderId="3" xfId="1" applyFont="1" applyBorder="1" applyAlignment="1">
      <alignment horizontal="center" vertical="center"/>
    </xf>
    <xf numFmtId="0" fontId="35" fillId="0" borderId="3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35" fillId="0" borderId="1" xfId="1" applyFont="1" applyBorder="1" applyAlignment="1">
      <alignment horizontal="center" vertical="center"/>
    </xf>
    <xf numFmtId="0" fontId="28" fillId="0" borderId="12" xfId="1" applyFont="1" applyBorder="1" applyAlignment="1">
      <alignment horizontal="center" vertical="center"/>
    </xf>
    <xf numFmtId="0" fontId="35" fillId="0" borderId="12" xfId="1" applyFont="1" applyBorder="1" applyAlignment="1">
      <alignment horizontal="center" vertical="center"/>
    </xf>
    <xf numFmtId="0" fontId="35" fillId="0" borderId="25" xfId="1" applyFont="1" applyBorder="1" applyAlignment="1">
      <alignment horizontal="center" vertical="center"/>
    </xf>
    <xf numFmtId="0" fontId="28" fillId="0" borderId="25" xfId="1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25" fillId="0" borderId="1" xfId="1" applyFont="1" applyFill="1" applyBorder="1" applyAlignment="1">
      <alignment horizontal="center" vertical="center" wrapText="1"/>
    </xf>
    <xf numFmtId="0" fontId="25" fillId="0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33" fillId="0" borderId="0" xfId="0" applyFont="1" applyAlignment="1">
      <alignment horizontal="left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164" fontId="5" fillId="0" borderId="25" xfId="1" applyNumberFormat="1" applyFont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30" fillId="0" borderId="25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0" fontId="30" fillId="0" borderId="17" xfId="1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25" fillId="0" borderId="4" xfId="1" applyFont="1" applyFill="1" applyBorder="1" applyAlignment="1">
      <alignment horizontal="center" vertical="center" wrapText="1"/>
    </xf>
    <xf numFmtId="0" fontId="25" fillId="0" borderId="7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14" fillId="0" borderId="4" xfId="0" applyFont="1" applyBorder="1"/>
    <xf numFmtId="0" fontId="14" fillId="0" borderId="36" xfId="0" applyFont="1" applyBorder="1" applyAlignment="1">
      <alignment horizontal="center" vertical="center"/>
    </xf>
    <xf numFmtId="1" fontId="5" fillId="0" borderId="25" xfId="1" applyNumberFormat="1" applyFont="1" applyBorder="1" applyAlignment="1">
      <alignment horizontal="center" vertical="center"/>
    </xf>
    <xf numFmtId="1" fontId="6" fillId="2" borderId="25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4" fillId="0" borderId="0" xfId="1" applyFont="1" applyBorder="1"/>
    <xf numFmtId="0" fontId="1" fillId="0" borderId="0" xfId="1" applyBorder="1"/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20" fontId="13" fillId="0" borderId="1" xfId="1" applyNumberFormat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20" fontId="21" fillId="0" borderId="1" xfId="0" applyNumberFormat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1" fontId="6" fillId="2" borderId="3" xfId="1" applyNumberFormat="1" applyFont="1" applyFill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20" fontId="0" fillId="0" borderId="0" xfId="0" applyNumberFormat="1"/>
    <xf numFmtId="0" fontId="36" fillId="0" borderId="25" xfId="0" applyFont="1" applyBorder="1"/>
    <xf numFmtId="20" fontId="21" fillId="0" borderId="1" xfId="0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20" fontId="13" fillId="0" borderId="1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28" fillId="0" borderId="0" xfId="1" applyFont="1" applyFill="1"/>
    <xf numFmtId="0" fontId="6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 wrapText="1"/>
    </xf>
    <xf numFmtId="1" fontId="5" fillId="0" borderId="5" xfId="1" applyNumberFormat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5" fillId="0" borderId="15" xfId="1" applyFont="1" applyBorder="1" applyAlignment="1">
      <alignment horizontal="center" vertical="center" wrapText="1"/>
    </xf>
    <xf numFmtId="0" fontId="25" fillId="0" borderId="14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5" borderId="14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14" fillId="0" borderId="14" xfId="0" applyFont="1" applyBorder="1"/>
    <xf numFmtId="0" fontId="34" fillId="0" borderId="17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28" fillId="0" borderId="17" xfId="1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34" fillId="0" borderId="25" xfId="0" applyFont="1" applyBorder="1" applyAlignment="1">
      <alignment horizontal="left" vertical="center"/>
    </xf>
    <xf numFmtId="1" fontId="5" fillId="0" borderId="1" xfId="1" applyNumberFormat="1" applyFont="1" applyBorder="1" applyAlignment="1">
      <alignment horizontal="center" vertical="center"/>
    </xf>
    <xf numFmtId="1" fontId="5" fillId="0" borderId="14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left"/>
    </xf>
    <xf numFmtId="0" fontId="5" fillId="0" borderId="16" xfId="1" applyFont="1" applyBorder="1" applyAlignment="1">
      <alignment horizontal="center" vertical="center"/>
    </xf>
    <xf numFmtId="0" fontId="39" fillId="0" borderId="12" xfId="1" applyFont="1" applyBorder="1" applyAlignment="1">
      <alignment horizontal="center" vertical="center"/>
    </xf>
    <xf numFmtId="20" fontId="21" fillId="0" borderId="1" xfId="0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20" fontId="13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0" fillId="0" borderId="25" xfId="0" applyBorder="1"/>
    <xf numFmtId="0" fontId="28" fillId="0" borderId="4" xfId="1" applyFont="1" applyBorder="1" applyAlignment="1">
      <alignment horizontal="center" vertical="center"/>
    </xf>
    <xf numFmtId="21" fontId="13" fillId="0" borderId="1" xfId="1" applyNumberFormat="1" applyFont="1" applyBorder="1" applyAlignment="1">
      <alignment horizontal="center" vertical="center"/>
    </xf>
    <xf numFmtId="0" fontId="40" fillId="0" borderId="0" xfId="0" applyFont="1"/>
    <xf numFmtId="0" fontId="5" fillId="0" borderId="12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164" fontId="5" fillId="0" borderId="12" xfId="1" applyNumberFormat="1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41" fillId="0" borderId="16" xfId="1" applyFont="1" applyBorder="1" applyAlignment="1">
      <alignment horizontal="center" vertical="center"/>
    </xf>
    <xf numFmtId="0" fontId="6" fillId="0" borderId="14" xfId="1" applyFont="1" applyBorder="1" applyAlignment="1" applyProtection="1">
      <alignment horizontal="center" vertical="center" wrapText="1"/>
      <protection locked="0"/>
    </xf>
    <xf numFmtId="0" fontId="41" fillId="0" borderId="12" xfId="1" applyFont="1" applyBorder="1" applyAlignment="1">
      <alignment horizontal="center" vertical="center"/>
    </xf>
    <xf numFmtId="0" fontId="41" fillId="0" borderId="1" xfId="1" applyFont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41" fillId="0" borderId="5" xfId="1" applyFont="1" applyBorder="1" applyAlignment="1">
      <alignment horizontal="center" vertical="center"/>
    </xf>
    <xf numFmtId="166" fontId="42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5" fillId="0" borderId="2" xfId="1" applyFont="1" applyFill="1" applyBorder="1" applyAlignment="1">
      <alignment horizontal="center" vertical="center" wrapText="1"/>
    </xf>
    <xf numFmtId="1" fontId="5" fillId="0" borderId="12" xfId="1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8" borderId="12" xfId="1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20" fontId="21" fillId="0" borderId="1" xfId="0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20" fontId="13" fillId="0" borderId="1" xfId="1" applyNumberFormat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1" fontId="5" fillId="0" borderId="12" xfId="1" applyNumberFormat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5" fillId="0" borderId="14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15" fillId="0" borderId="1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41" fillId="0" borderId="2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28" fillId="0" borderId="0" xfId="1" applyNumberFormat="1" applyFont="1"/>
    <xf numFmtId="0" fontId="34" fillId="0" borderId="12" xfId="0" applyFont="1" applyBorder="1" applyAlignment="1">
      <alignment vertical="center" wrapText="1"/>
    </xf>
    <xf numFmtId="2" fontId="44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0" fillId="0" borderId="12" xfId="0" applyBorder="1"/>
    <xf numFmtId="0" fontId="6" fillId="0" borderId="14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 applyProtection="1">
      <alignment horizontal="center" vertical="center" wrapText="1"/>
      <protection locked="0"/>
    </xf>
    <xf numFmtId="0" fontId="25" fillId="0" borderId="14" xfId="1" applyFont="1" applyFill="1" applyBorder="1" applyAlignment="1">
      <alignment horizontal="center" vertical="center" wrapText="1"/>
    </xf>
    <xf numFmtId="0" fontId="25" fillId="0" borderId="15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41" fillId="0" borderId="14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5" fillId="0" borderId="12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46" fillId="0" borderId="0" xfId="1" applyFont="1" applyAlignment="1">
      <alignment horizontal="left" vertical="center"/>
    </xf>
    <xf numFmtId="1" fontId="5" fillId="0" borderId="12" xfId="1" applyNumberFormat="1" applyFont="1" applyFill="1" applyBorder="1" applyAlignment="1">
      <alignment horizontal="center" vertical="center"/>
    </xf>
    <xf numFmtId="0" fontId="0" fillId="0" borderId="14" xfId="0" applyBorder="1"/>
    <xf numFmtId="0" fontId="6" fillId="0" borderId="14" xfId="1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4" fillId="0" borderId="1" xfId="0" applyFont="1" applyBorder="1" applyAlignment="1">
      <alignment vertical="center" wrapText="1"/>
    </xf>
    <xf numFmtId="0" fontId="37" fillId="0" borderId="26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48" fillId="0" borderId="0" xfId="0" applyNumberFormat="1" applyFont="1" applyAlignment="1">
      <alignment horizontal="center" vertical="center"/>
    </xf>
    <xf numFmtId="0" fontId="49" fillId="0" borderId="0" xfId="0" applyNumberFormat="1" applyFont="1" applyAlignment="1">
      <alignment horizontal="center"/>
    </xf>
    <xf numFmtId="0" fontId="48" fillId="0" borderId="0" xfId="0" applyNumberFormat="1" applyFont="1" applyAlignment="1">
      <alignment horizontal="center"/>
    </xf>
    <xf numFmtId="0" fontId="5" fillId="0" borderId="12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 wrapText="1"/>
    </xf>
    <xf numFmtId="0" fontId="50" fillId="0" borderId="16" xfId="1" applyFont="1" applyBorder="1" applyAlignment="1">
      <alignment horizontal="center" vertical="center"/>
    </xf>
    <xf numFmtId="1" fontId="50" fillId="0" borderId="16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25" fillId="0" borderId="2" xfId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20" fontId="21" fillId="0" borderId="1" xfId="0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20" fontId="13" fillId="0" borderId="1" xfId="1" applyNumberFormat="1" applyFont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1" fontId="5" fillId="0" borderId="12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5" fillId="0" borderId="14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39" fillId="0" borderId="12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30" fillId="0" borderId="0" xfId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5" fillId="0" borderId="2" xfId="1" applyFont="1" applyFill="1" applyBorder="1" applyAlignment="1">
      <alignment horizontal="center" vertical="center" wrapText="1"/>
    </xf>
    <xf numFmtId="1" fontId="5" fillId="0" borderId="12" xfId="1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5" fillId="0" borderId="2" xfId="1" applyFont="1" applyFill="1" applyBorder="1" applyAlignment="1">
      <alignment horizontal="center" vertical="center" wrapText="1"/>
    </xf>
    <xf numFmtId="1" fontId="5" fillId="0" borderId="12" xfId="1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 wrapText="1"/>
    </xf>
    <xf numFmtId="1" fontId="5" fillId="0" borderId="12" xfId="1" applyNumberFormat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2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25" fillId="0" borderId="4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34" fillId="0" borderId="34" xfId="0" applyFont="1" applyBorder="1" applyAlignment="1">
      <alignment vertical="center"/>
    </xf>
    <xf numFmtId="0" fontId="34" fillId="0" borderId="36" xfId="0" applyFont="1" applyBorder="1" applyAlignment="1">
      <alignment vertical="center"/>
    </xf>
    <xf numFmtId="0" fontId="34" fillId="0" borderId="42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34" fillId="0" borderId="40" xfId="0" applyFont="1" applyBorder="1" applyAlignment="1">
      <alignment vertical="center" wrapText="1"/>
    </xf>
    <xf numFmtId="0" fontId="34" fillId="0" borderId="34" xfId="0" applyFont="1" applyBorder="1" applyAlignment="1">
      <alignment horizontal="left" vertical="center"/>
    </xf>
    <xf numFmtId="0" fontId="34" fillId="0" borderId="45" xfId="0" applyFont="1" applyBorder="1" applyAlignment="1">
      <alignment vertical="center"/>
    </xf>
    <xf numFmtId="0" fontId="34" fillId="0" borderId="40" xfId="0" applyFont="1" applyBorder="1" applyAlignment="1">
      <alignment vertical="center"/>
    </xf>
    <xf numFmtId="1" fontId="5" fillId="9" borderId="25" xfId="1" applyNumberFormat="1" applyFont="1" applyFill="1" applyBorder="1" applyAlignment="1">
      <alignment horizontal="center" vertical="center"/>
    </xf>
    <xf numFmtId="0" fontId="5" fillId="9" borderId="25" xfId="1" applyFont="1" applyFill="1" applyBorder="1" applyAlignment="1">
      <alignment horizontal="center" vertical="center" wrapText="1"/>
    </xf>
    <xf numFmtId="1" fontId="5" fillId="9" borderId="12" xfId="1" applyNumberFormat="1" applyFont="1" applyFill="1" applyBorder="1" applyAlignment="1">
      <alignment horizontal="center" vertical="center"/>
    </xf>
    <xf numFmtId="0" fontId="5" fillId="9" borderId="12" xfId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37" fillId="0" borderId="0" xfId="0" applyFont="1"/>
    <xf numFmtId="1" fontId="11" fillId="0" borderId="0" xfId="0" applyNumberFormat="1" applyFont="1"/>
    <xf numFmtId="1" fontId="52" fillId="0" borderId="0" xfId="0" applyNumberFormat="1" applyFont="1"/>
    <xf numFmtId="166" fontId="5" fillId="0" borderId="0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20" fontId="13" fillId="0" borderId="2" xfId="1" applyNumberFormat="1" applyFont="1" applyBorder="1" applyAlignment="1">
      <alignment horizontal="center" vertical="center"/>
    </xf>
    <xf numFmtId="20" fontId="13" fillId="0" borderId="6" xfId="1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20" fontId="13" fillId="0" borderId="1" xfId="1" applyNumberFormat="1" applyFont="1" applyBorder="1" applyAlignment="1">
      <alignment horizontal="center" vertical="center"/>
    </xf>
    <xf numFmtId="20" fontId="13" fillId="0" borderId="20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12" fillId="6" borderId="2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 applyProtection="1">
      <alignment horizontal="center" vertical="center" wrapText="1"/>
      <protection locked="0"/>
    </xf>
    <xf numFmtId="164" fontId="5" fillId="0" borderId="5" xfId="1" applyNumberFormat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3" fillId="0" borderId="5" xfId="1" applyFont="1" applyBorder="1" applyAlignment="1" applyProtection="1">
      <alignment horizontal="center" vertical="center" wrapText="1"/>
      <protection locked="0"/>
    </xf>
    <xf numFmtId="0" fontId="3" fillId="0" borderId="12" xfId="1" applyFont="1" applyBorder="1" applyAlignment="1" applyProtection="1">
      <alignment horizontal="center" vertical="center" wrapText="1"/>
      <protection locked="0"/>
    </xf>
    <xf numFmtId="2" fontId="5" fillId="0" borderId="4" xfId="1" applyNumberFormat="1" applyFont="1" applyBorder="1" applyAlignment="1">
      <alignment horizontal="center" vertical="center"/>
    </xf>
    <xf numFmtId="2" fontId="5" fillId="0" borderId="5" xfId="1" applyNumberFormat="1" applyFont="1" applyBorder="1" applyAlignment="1">
      <alignment horizontal="center" vertical="center"/>
    </xf>
    <xf numFmtId="2" fontId="5" fillId="0" borderId="12" xfId="1" applyNumberFormat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20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  <xf numFmtId="0" fontId="5" fillId="0" borderId="16" xfId="1" applyFont="1" applyBorder="1" applyAlignment="1">
      <alignment horizontal="center" vertical="center"/>
    </xf>
    <xf numFmtId="164" fontId="5" fillId="0" borderId="16" xfId="1" applyNumberFormat="1" applyFont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25" fillId="0" borderId="2" xfId="1" applyFont="1" applyFill="1" applyBorder="1" applyAlignment="1">
      <alignment horizontal="center" vertical="center" wrapText="1"/>
    </xf>
    <xf numFmtId="0" fontId="25" fillId="0" borderId="6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20" fontId="21" fillId="0" borderId="2" xfId="0" applyNumberFormat="1" applyFont="1" applyBorder="1" applyAlignment="1">
      <alignment horizontal="center" vertical="center"/>
    </xf>
    <xf numFmtId="20" fontId="21" fillId="0" borderId="20" xfId="0" applyNumberFormat="1" applyFont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20" fontId="21" fillId="0" borderId="6" xfId="0" applyNumberFormat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 wrapText="1"/>
    </xf>
    <xf numFmtId="0" fontId="25" fillId="0" borderId="6" xfId="1" applyFont="1" applyBorder="1" applyAlignment="1">
      <alignment horizontal="center" vertical="center" wrapText="1"/>
    </xf>
    <xf numFmtId="0" fontId="25" fillId="0" borderId="7" xfId="1" applyFont="1" applyFill="1" applyBorder="1" applyAlignment="1">
      <alignment horizontal="center" vertical="center" wrapText="1"/>
    </xf>
    <xf numFmtId="0" fontId="25" fillId="0" borderId="8" xfId="1" applyFont="1" applyFill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/>
    </xf>
    <xf numFmtId="165" fontId="5" fillId="0" borderId="25" xfId="1" applyNumberFormat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164" fontId="5" fillId="0" borderId="17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14" xfId="1" applyNumberFormat="1" applyFont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1" fontId="6" fillId="2" borderId="16" xfId="1" applyNumberFormat="1" applyFont="1" applyFill="1" applyBorder="1" applyAlignment="1">
      <alignment horizontal="center" vertical="center"/>
    </xf>
    <xf numFmtId="0" fontId="34" fillId="0" borderId="5" xfId="0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1" fontId="5" fillId="0" borderId="16" xfId="1" applyNumberFormat="1" applyFont="1" applyBorder="1" applyAlignment="1">
      <alignment horizontal="center" vertical="center"/>
    </xf>
    <xf numFmtId="1" fontId="5" fillId="0" borderId="5" xfId="1" applyNumberFormat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64" fontId="5" fillId="0" borderId="4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/>
    </xf>
    <xf numFmtId="0" fontId="25" fillId="0" borderId="26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1" fontId="6" fillId="2" borderId="5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20" fontId="28" fillId="0" borderId="2" xfId="1" applyNumberFormat="1" applyFont="1" applyBorder="1" applyAlignment="1">
      <alignment horizontal="center" vertical="center"/>
    </xf>
    <xf numFmtId="20" fontId="28" fillId="0" borderId="20" xfId="1" applyNumberFormat="1" applyFont="1" applyBorder="1" applyAlignment="1">
      <alignment horizontal="center" vertical="center"/>
    </xf>
    <xf numFmtId="20" fontId="42" fillId="0" borderId="2" xfId="0" applyNumberFormat="1" applyFont="1" applyBorder="1" applyAlignment="1">
      <alignment horizontal="center" vertical="center"/>
    </xf>
    <xf numFmtId="20" fontId="42" fillId="0" borderId="6" xfId="0" applyNumberFormat="1" applyFont="1" applyBorder="1" applyAlignment="1">
      <alignment horizontal="center" vertical="center"/>
    </xf>
    <xf numFmtId="20" fontId="28" fillId="0" borderId="6" xfId="1" applyNumberFormat="1" applyFont="1" applyBorder="1" applyAlignment="1">
      <alignment horizontal="center" vertical="center"/>
    </xf>
    <xf numFmtId="1" fontId="5" fillId="0" borderId="15" xfId="1" applyNumberFormat="1" applyFont="1" applyBorder="1" applyAlignment="1">
      <alignment horizontal="center" vertical="center"/>
    </xf>
    <xf numFmtId="1" fontId="5" fillId="0" borderId="26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" fontId="6" fillId="2" borderId="17" xfId="1" applyNumberFormat="1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25" fillId="0" borderId="15" xfId="1" applyFont="1" applyFill="1" applyBorder="1" applyAlignment="1">
      <alignment horizontal="center" vertical="center" wrapText="1"/>
    </xf>
    <xf numFmtId="0" fontId="25" fillId="0" borderId="26" xfId="1" applyFont="1" applyFill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5" fillId="9" borderId="16" xfId="1" applyFont="1" applyFill="1" applyBorder="1" applyAlignment="1">
      <alignment horizontal="center" vertical="center"/>
    </xf>
    <xf numFmtId="0" fontId="5" fillId="9" borderId="5" xfId="1" applyFont="1" applyFill="1" applyBorder="1" applyAlignment="1">
      <alignment horizontal="center" vertical="center"/>
    </xf>
    <xf numFmtId="0" fontId="5" fillId="9" borderId="12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0" fillId="0" borderId="1" xfId="1" applyFont="1" applyBorder="1" applyAlignment="1">
      <alignment horizontal="center" vertical="center"/>
    </xf>
    <xf numFmtId="0" fontId="50" fillId="0" borderId="5" xfId="1" applyFont="1" applyBorder="1" applyAlignment="1">
      <alignment horizontal="center" vertical="center"/>
    </xf>
    <xf numFmtId="0" fontId="50" fillId="0" borderId="14" xfId="1" applyFont="1" applyBorder="1" applyAlignment="1">
      <alignment horizontal="center" vertical="center"/>
    </xf>
    <xf numFmtId="1" fontId="50" fillId="0" borderId="5" xfId="1" applyNumberFormat="1" applyFont="1" applyBorder="1" applyAlignment="1">
      <alignment horizontal="center" vertical="center"/>
    </xf>
    <xf numFmtId="1" fontId="50" fillId="0" borderId="1" xfId="1" applyNumberFormat="1" applyFont="1" applyBorder="1" applyAlignment="1">
      <alignment horizontal="center" vertical="center"/>
    </xf>
    <xf numFmtId="1" fontId="50" fillId="0" borderId="14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FFFF"/>
      <color rgb="FFCC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workbookViewId="0">
      <selection activeCell="D3" sqref="D3:D16"/>
    </sheetView>
  </sheetViews>
  <sheetFormatPr defaultColWidth="8.90625" defaultRowHeight="14.5" x14ac:dyDescent="0.35"/>
  <cols>
    <col min="1" max="1" width="8.90625" style="70"/>
    <col min="2" max="2" width="13" style="70" customWidth="1"/>
    <col min="3" max="3" width="13.08984375" style="70" bestFit="1" customWidth="1"/>
    <col min="4" max="4" width="12" style="70" bestFit="1" customWidth="1"/>
    <col min="5" max="5" width="44.453125" style="70" bestFit="1" customWidth="1"/>
    <col min="6" max="8" width="8.90625" style="70"/>
    <col min="9" max="9" width="28.453125" style="70" customWidth="1"/>
    <col min="10" max="16384" width="8.90625" style="70"/>
  </cols>
  <sheetData>
    <row r="1" spans="1:10" ht="8.9" customHeight="1" x14ac:dyDescent="0.35"/>
    <row r="2" spans="1:10" ht="31" x14ac:dyDescent="0.35">
      <c r="B2" s="65" t="s">
        <v>56</v>
      </c>
      <c r="C2" s="66" t="s">
        <v>15</v>
      </c>
      <c r="D2" s="71" t="s">
        <v>83</v>
      </c>
      <c r="E2" s="72" t="s">
        <v>48</v>
      </c>
      <c r="G2" s="75" t="s">
        <v>94</v>
      </c>
    </row>
    <row r="3" spans="1:10" x14ac:dyDescent="0.35">
      <c r="A3" s="73">
        <v>1</v>
      </c>
      <c r="B3" s="73" t="s">
        <v>57</v>
      </c>
      <c r="C3" s="80" t="s">
        <v>20</v>
      </c>
      <c r="D3" s="73" t="s">
        <v>116</v>
      </c>
      <c r="E3" s="73"/>
    </row>
    <row r="4" spans="1:10" x14ac:dyDescent="0.35">
      <c r="A4" s="73">
        <v>2</v>
      </c>
      <c r="B4" s="73" t="s">
        <v>58</v>
      </c>
      <c r="C4" s="74" t="s">
        <v>62</v>
      </c>
      <c r="D4" s="73" t="s">
        <v>64</v>
      </c>
      <c r="E4" s="74" t="s">
        <v>125</v>
      </c>
      <c r="I4" s="729" t="s">
        <v>85</v>
      </c>
      <c r="J4" s="730"/>
    </row>
    <row r="5" spans="1:10" x14ac:dyDescent="0.35">
      <c r="A5" s="73">
        <v>3</v>
      </c>
      <c r="B5" s="73" t="s">
        <v>59</v>
      </c>
      <c r="C5" s="74" t="s">
        <v>26</v>
      </c>
      <c r="D5" s="73" t="s">
        <v>64</v>
      </c>
      <c r="E5" s="73"/>
      <c r="I5" s="76" t="s">
        <v>86</v>
      </c>
      <c r="J5" s="77">
        <v>15</v>
      </c>
    </row>
    <row r="6" spans="1:10" x14ac:dyDescent="0.35">
      <c r="A6" s="73">
        <v>4</v>
      </c>
      <c r="B6" s="73" t="s">
        <v>60</v>
      </c>
      <c r="C6" s="74" t="s">
        <v>63</v>
      </c>
      <c r="D6" s="73" t="s">
        <v>64</v>
      </c>
      <c r="E6" s="73"/>
      <c r="I6" s="76" t="s">
        <v>87</v>
      </c>
      <c r="J6" s="77">
        <v>4</v>
      </c>
    </row>
    <row r="7" spans="1:10" x14ac:dyDescent="0.35">
      <c r="A7" s="73">
        <v>5</v>
      </c>
      <c r="B7" s="73" t="s">
        <v>61</v>
      </c>
      <c r="C7" s="80" t="s">
        <v>32</v>
      </c>
      <c r="D7" s="73" t="s">
        <v>64</v>
      </c>
      <c r="E7" s="73"/>
      <c r="I7" s="76" t="s">
        <v>88</v>
      </c>
      <c r="J7" s="77">
        <v>7</v>
      </c>
    </row>
    <row r="8" spans="1:10" x14ac:dyDescent="0.35">
      <c r="A8" s="73">
        <v>6</v>
      </c>
      <c r="B8" s="727" t="s">
        <v>27</v>
      </c>
      <c r="C8" s="81" t="s">
        <v>73</v>
      </c>
      <c r="D8" s="73" t="s">
        <v>64</v>
      </c>
      <c r="E8" s="73" t="s">
        <v>124</v>
      </c>
      <c r="I8" s="76" t="s">
        <v>89</v>
      </c>
      <c r="J8" s="77">
        <v>3</v>
      </c>
    </row>
    <row r="9" spans="1:10" x14ac:dyDescent="0.35">
      <c r="A9" s="73"/>
      <c r="B9" s="728"/>
      <c r="C9" s="80" t="s">
        <v>74</v>
      </c>
      <c r="D9" s="73" t="s">
        <v>116</v>
      </c>
      <c r="E9" s="73"/>
      <c r="I9" s="76" t="s">
        <v>90</v>
      </c>
      <c r="J9" s="77">
        <v>3</v>
      </c>
    </row>
    <row r="10" spans="1:10" x14ac:dyDescent="0.35">
      <c r="A10" s="73">
        <v>7</v>
      </c>
      <c r="B10" s="727" t="s">
        <v>23</v>
      </c>
      <c r="C10" s="81" t="s">
        <v>75</v>
      </c>
      <c r="D10" s="73" t="s">
        <v>64</v>
      </c>
      <c r="E10" s="73" t="s">
        <v>124</v>
      </c>
      <c r="I10" s="76" t="s">
        <v>91</v>
      </c>
      <c r="J10" s="77">
        <v>7</v>
      </c>
    </row>
    <row r="11" spans="1:10" x14ac:dyDescent="0.35">
      <c r="A11" s="73"/>
      <c r="B11" s="728"/>
      <c r="C11" s="80" t="s">
        <v>76</v>
      </c>
      <c r="D11" s="73" t="s">
        <v>116</v>
      </c>
      <c r="E11" s="73"/>
      <c r="I11" s="76" t="s">
        <v>92</v>
      </c>
      <c r="J11" s="77">
        <v>14</v>
      </c>
    </row>
    <row r="12" spans="1:10" x14ac:dyDescent="0.35">
      <c r="A12" s="73">
        <v>8</v>
      </c>
      <c r="B12" s="73" t="s">
        <v>67</v>
      </c>
      <c r="C12" s="80" t="s">
        <v>77</v>
      </c>
      <c r="D12" s="73" t="s">
        <v>116</v>
      </c>
      <c r="E12" s="73"/>
      <c r="I12" s="78" t="s">
        <v>93</v>
      </c>
      <c r="J12" s="79">
        <v>1</v>
      </c>
    </row>
    <row r="13" spans="1:10" x14ac:dyDescent="0.35">
      <c r="A13" s="73">
        <v>9</v>
      </c>
      <c r="B13" s="73" t="s">
        <v>68</v>
      </c>
      <c r="C13" s="80" t="s">
        <v>117</v>
      </c>
      <c r="D13" s="73" t="s">
        <v>116</v>
      </c>
      <c r="E13" s="73"/>
    </row>
    <row r="14" spans="1:10" x14ac:dyDescent="0.35">
      <c r="A14" s="73">
        <v>10</v>
      </c>
      <c r="B14" s="73" t="s">
        <v>69</v>
      </c>
      <c r="C14" s="80" t="s">
        <v>78</v>
      </c>
      <c r="D14" s="73" t="s">
        <v>116</v>
      </c>
      <c r="E14" s="73"/>
    </row>
    <row r="15" spans="1:10" x14ac:dyDescent="0.35">
      <c r="A15" s="73">
        <v>11</v>
      </c>
      <c r="B15" s="73" t="s">
        <v>70</v>
      </c>
      <c r="C15" s="80" t="s">
        <v>79</v>
      </c>
      <c r="D15" s="73" t="s">
        <v>64</v>
      </c>
      <c r="E15" s="73"/>
    </row>
    <row r="16" spans="1:10" x14ac:dyDescent="0.35">
      <c r="A16" s="73">
        <v>12</v>
      </c>
      <c r="B16" s="73" t="s">
        <v>71</v>
      </c>
      <c r="C16" s="80" t="s">
        <v>80</v>
      </c>
      <c r="D16" s="73" t="s">
        <v>116</v>
      </c>
      <c r="E16" s="73"/>
    </row>
    <row r="17" spans="1:12" x14ac:dyDescent="0.35">
      <c r="A17" s="73">
        <v>13</v>
      </c>
      <c r="B17" s="73" t="s">
        <v>72</v>
      </c>
      <c r="C17" s="74" t="s">
        <v>81</v>
      </c>
      <c r="D17" s="73"/>
      <c r="E17" s="73"/>
      <c r="H17" s="729" t="s">
        <v>109</v>
      </c>
      <c r="I17" s="731"/>
      <c r="J17" s="731"/>
      <c r="K17" s="731"/>
      <c r="L17" s="730"/>
    </row>
    <row r="18" spans="1:12" x14ac:dyDescent="0.35">
      <c r="A18" s="73"/>
      <c r="B18" s="73"/>
      <c r="C18" s="73" t="s">
        <v>84</v>
      </c>
      <c r="D18" s="73"/>
      <c r="E18" s="73"/>
      <c r="H18" s="99" t="s">
        <v>27</v>
      </c>
      <c r="I18" s="100" t="s">
        <v>111</v>
      </c>
      <c r="J18" s="101"/>
      <c r="K18" s="101"/>
      <c r="L18" s="77"/>
    </row>
    <row r="19" spans="1:12" x14ac:dyDescent="0.35">
      <c r="H19" s="99" t="s">
        <v>23</v>
      </c>
      <c r="I19" s="100" t="s">
        <v>110</v>
      </c>
      <c r="J19" s="101"/>
      <c r="K19" s="101"/>
      <c r="L19" s="77"/>
    </row>
    <row r="20" spans="1:12" x14ac:dyDescent="0.35">
      <c r="H20" s="99" t="s">
        <v>107</v>
      </c>
      <c r="I20" s="100" t="s">
        <v>108</v>
      </c>
      <c r="J20" s="101"/>
      <c r="K20" s="101"/>
      <c r="L20" s="77"/>
    </row>
    <row r="21" spans="1:12" x14ac:dyDescent="0.35">
      <c r="B21" s="117"/>
      <c r="H21" s="99" t="s">
        <v>104</v>
      </c>
      <c r="I21" s="100" t="s">
        <v>106</v>
      </c>
      <c r="J21" s="101"/>
      <c r="K21" s="101"/>
      <c r="L21" s="77"/>
    </row>
    <row r="22" spans="1:12" x14ac:dyDescent="0.35">
      <c r="B22" s="117" t="s">
        <v>203</v>
      </c>
      <c r="H22" s="99" t="s">
        <v>105</v>
      </c>
      <c r="I22" s="100" t="s">
        <v>106</v>
      </c>
      <c r="J22" s="101"/>
      <c r="K22" s="101"/>
      <c r="L22" s="77"/>
    </row>
    <row r="23" spans="1:12" x14ac:dyDescent="0.35">
      <c r="H23" s="102" t="s">
        <v>112</v>
      </c>
      <c r="I23" s="104" t="s">
        <v>113</v>
      </c>
      <c r="J23" s="103"/>
      <c r="K23" s="103"/>
      <c r="L23" s="79"/>
    </row>
  </sheetData>
  <mergeCells count="4">
    <mergeCell ref="B8:B9"/>
    <mergeCell ref="B10:B11"/>
    <mergeCell ref="I4:J4"/>
    <mergeCell ref="H17:L17"/>
  </mergeCells>
  <pageMargins left="0.7" right="0.7" top="0.75" bottom="0.75" header="0.3" footer="0.3"/>
  <pageSetup paperSize="9" scale="7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9"/>
  <sheetViews>
    <sheetView topLeftCell="A10" zoomScale="40" zoomScaleNormal="40" workbookViewId="0">
      <selection activeCell="AC5" sqref="AC5"/>
    </sheetView>
  </sheetViews>
  <sheetFormatPr defaultColWidth="11.453125" defaultRowHeight="14.5" x14ac:dyDescent="0.35"/>
  <cols>
    <col min="1" max="1" width="12.08984375" customWidth="1"/>
    <col min="2" max="2" width="13" customWidth="1"/>
    <col min="3" max="3" width="15.453125" customWidth="1"/>
    <col min="4" max="5" width="14.453125" customWidth="1"/>
    <col min="6" max="6" width="19.90625" customWidth="1"/>
    <col min="7" max="7" width="13.453125" customWidth="1"/>
    <col min="8" max="8" width="13.90625" customWidth="1"/>
    <col min="9" max="9" width="14" customWidth="1"/>
    <col min="10" max="10" width="21.08984375" customWidth="1"/>
    <col min="11" max="11" width="21.453125" customWidth="1"/>
    <col min="12" max="12" width="18" customWidth="1"/>
    <col min="13" max="13" width="20.90625" customWidth="1"/>
    <col min="14" max="14" width="28.453125" customWidth="1"/>
    <col min="15" max="15" width="19" customWidth="1"/>
    <col min="16" max="25" width="9.08984375" customWidth="1"/>
    <col min="26" max="26" width="102.08984375" bestFit="1" customWidth="1"/>
    <col min="27" max="27" width="10.453125" customWidth="1"/>
    <col min="28" max="28" width="10.453125" bestFit="1" customWidth="1"/>
    <col min="29" max="29" width="34.453125" customWidth="1"/>
  </cols>
  <sheetData>
    <row r="1" spans="1:29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</row>
    <row r="2" spans="1:29" ht="32.5" x14ac:dyDescent="0.65">
      <c r="A2" s="84" t="s">
        <v>36</v>
      </c>
      <c r="B2" s="83"/>
      <c r="C2" s="98" t="s">
        <v>230</v>
      </c>
      <c r="D2" s="83"/>
      <c r="H2" s="91" t="s">
        <v>96</v>
      </c>
      <c r="I2" s="193" t="s">
        <v>237</v>
      </c>
      <c r="J2" s="342"/>
      <c r="K2" s="89" t="s">
        <v>99</v>
      </c>
      <c r="L2" s="1"/>
      <c r="M2" s="2"/>
      <c r="N2" s="2"/>
      <c r="O2" s="2"/>
    </row>
    <row r="3" spans="1:29" ht="30.5" x14ac:dyDescent="0.65">
      <c r="A3" s="119" t="s">
        <v>136</v>
      </c>
      <c r="B3" s="120"/>
      <c r="C3" s="121">
        <v>1320</v>
      </c>
      <c r="D3" s="122" t="s">
        <v>11</v>
      </c>
      <c r="E3" s="1"/>
      <c r="F3" s="1"/>
      <c r="G3" s="1"/>
      <c r="H3" s="92" t="s">
        <v>97</v>
      </c>
      <c r="I3" s="193" t="s">
        <v>238</v>
      </c>
      <c r="J3" s="342"/>
      <c r="K3" s="89" t="s">
        <v>100</v>
      </c>
      <c r="L3" s="1"/>
      <c r="M3" s="880"/>
      <c r="N3" s="880"/>
      <c r="O3" s="880"/>
    </row>
    <row r="4" spans="1:29" ht="28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Q4" s="778" t="s">
        <v>38</v>
      </c>
      <c r="R4" s="779"/>
      <c r="S4" s="780"/>
      <c r="T4" s="781" t="s">
        <v>43</v>
      </c>
      <c r="U4" s="782"/>
      <c r="V4" s="782"/>
      <c r="W4" s="783"/>
      <c r="X4" s="346"/>
      <c r="Y4" s="358"/>
      <c r="Z4" s="13" t="s">
        <v>48</v>
      </c>
    </row>
    <row r="5" spans="1:29" ht="63" thickBot="1" x14ac:dyDescent="0.65">
      <c r="A5" s="10" t="s">
        <v>98</v>
      </c>
      <c r="B5" s="10" t="s">
        <v>0</v>
      </c>
      <c r="C5" s="10" t="s">
        <v>17</v>
      </c>
      <c r="D5" s="10" t="s">
        <v>1</v>
      </c>
      <c r="E5" s="10" t="s">
        <v>2</v>
      </c>
      <c r="F5" s="12" t="s">
        <v>3</v>
      </c>
      <c r="G5" s="360" t="s">
        <v>4</v>
      </c>
      <c r="H5" s="360" t="s">
        <v>5</v>
      </c>
      <c r="I5" s="291" t="s">
        <v>16</v>
      </c>
      <c r="J5" s="290" t="s">
        <v>15</v>
      </c>
      <c r="K5" s="290" t="s">
        <v>66</v>
      </c>
      <c r="L5" s="873" t="s">
        <v>143</v>
      </c>
      <c r="M5" s="874"/>
      <c r="N5" s="291" t="s">
        <v>144</v>
      </c>
      <c r="O5" s="292" t="s">
        <v>8</v>
      </c>
      <c r="P5" s="292" t="s">
        <v>137</v>
      </c>
      <c r="Q5" s="293" t="s">
        <v>42</v>
      </c>
      <c r="R5" s="293" t="s">
        <v>37</v>
      </c>
      <c r="S5" s="293" t="s">
        <v>44</v>
      </c>
      <c r="T5" s="294" t="s">
        <v>41</v>
      </c>
      <c r="U5" s="294" t="s">
        <v>39</v>
      </c>
      <c r="V5" s="294" t="s">
        <v>40</v>
      </c>
      <c r="W5" s="294" t="s">
        <v>42</v>
      </c>
      <c r="X5" s="294" t="s">
        <v>178</v>
      </c>
      <c r="Y5" s="294" t="s">
        <v>233</v>
      </c>
      <c r="Z5" s="295"/>
      <c r="AC5" s="120">
        <f>SUM(O6:O15,O18:O19,O22)</f>
        <v>10741.400000000009</v>
      </c>
    </row>
    <row r="6" spans="1:29" ht="57" customHeight="1" thickBot="1" x14ac:dyDescent="0.4">
      <c r="A6" s="343">
        <v>1</v>
      </c>
      <c r="B6" s="343">
        <v>5</v>
      </c>
      <c r="C6" s="343">
        <f t="shared" ref="C6:C12" si="0">$C$19</f>
        <v>0.6</v>
      </c>
      <c r="D6" s="344">
        <f>ABS(F6)/C6/60</f>
        <v>0.22222222222222224</v>
      </c>
      <c r="E6" s="344">
        <f>B6+D6</f>
        <v>5.2222222222222223</v>
      </c>
      <c r="F6" s="229">
        <v>-8</v>
      </c>
      <c r="G6" s="351">
        <f>C3-50</f>
        <v>1270</v>
      </c>
      <c r="H6" s="343"/>
      <c r="I6" s="343" t="s">
        <v>25</v>
      </c>
      <c r="J6" s="343" t="s">
        <v>128</v>
      </c>
      <c r="K6" s="343" t="s">
        <v>64</v>
      </c>
      <c r="L6" s="300">
        <v>32.017000000000003</v>
      </c>
      <c r="M6" s="300">
        <v>32.018999999999998</v>
      </c>
      <c r="N6" s="300">
        <v>32.997</v>
      </c>
      <c r="O6" s="359">
        <f t="shared" ref="O6:O22" si="1">(N6-M6)*1000</f>
        <v>978.00000000000159</v>
      </c>
      <c r="P6" s="355" t="s">
        <v>54</v>
      </c>
      <c r="Q6" s="185" t="s">
        <v>54</v>
      </c>
      <c r="R6" s="180"/>
      <c r="S6" s="180"/>
      <c r="T6" s="180"/>
      <c r="U6" s="180"/>
      <c r="V6" s="180"/>
      <c r="W6" s="185"/>
      <c r="X6" s="188"/>
      <c r="Y6" s="185"/>
      <c r="Z6" s="172"/>
    </row>
    <row r="7" spans="1:29" ht="65.150000000000006" customHeight="1" thickBot="1" x14ac:dyDescent="0.4">
      <c r="A7" s="343">
        <v>2</v>
      </c>
      <c r="B7" s="343">
        <v>5</v>
      </c>
      <c r="C7" s="343">
        <f t="shared" si="0"/>
        <v>0.6</v>
      </c>
      <c r="D7" s="344">
        <f>(F7+F6)/C7/60</f>
        <v>0.11111111111111112</v>
      </c>
      <c r="E7" s="344">
        <f t="shared" ref="E7:E15" si="2">B7+D7+E6</f>
        <v>10.333333333333332</v>
      </c>
      <c r="F7" s="229">
        <f>G6-G7+F6</f>
        <v>12</v>
      </c>
      <c r="G7" s="351">
        <v>1250</v>
      </c>
      <c r="H7" s="343"/>
      <c r="I7" s="356" t="s">
        <v>228</v>
      </c>
      <c r="J7" s="343" t="s">
        <v>149</v>
      </c>
      <c r="K7" s="343" t="s">
        <v>64</v>
      </c>
      <c r="L7" s="300">
        <v>13.528</v>
      </c>
      <c r="M7" s="300">
        <v>13.528</v>
      </c>
      <c r="N7" s="300">
        <v>14.492000000000001</v>
      </c>
      <c r="O7" s="359">
        <f t="shared" si="1"/>
        <v>964.00000000000045</v>
      </c>
      <c r="P7" s="355"/>
      <c r="Q7" s="180"/>
      <c r="R7" s="180"/>
      <c r="S7" s="180"/>
      <c r="T7" s="180"/>
      <c r="U7" s="180" t="s">
        <v>54</v>
      </c>
      <c r="V7" s="180"/>
      <c r="W7" s="180" t="s">
        <v>54</v>
      </c>
      <c r="X7" s="180" t="s">
        <v>54</v>
      </c>
      <c r="Y7" s="185"/>
      <c r="Z7" s="172"/>
    </row>
    <row r="8" spans="1:29" ht="70.5" customHeight="1" thickBot="1" x14ac:dyDescent="0.4">
      <c r="A8" s="343">
        <v>3</v>
      </c>
      <c r="B8" s="343">
        <v>5</v>
      </c>
      <c r="C8" s="343">
        <f t="shared" si="0"/>
        <v>0.6</v>
      </c>
      <c r="D8" s="344">
        <f t="shared" ref="D8:D16" si="3">(F8-F7)/C8/60</f>
        <v>6.9444444444444446</v>
      </c>
      <c r="E8" s="357">
        <f t="shared" si="2"/>
        <v>22.277777777777779</v>
      </c>
      <c r="F8" s="229">
        <f t="shared" ref="F8" si="4">G7-G8+F7</f>
        <v>262</v>
      </c>
      <c r="G8" s="351">
        <v>1000</v>
      </c>
      <c r="H8" s="343"/>
      <c r="I8" s="343" t="s">
        <v>29</v>
      </c>
      <c r="J8" s="343" t="s">
        <v>129</v>
      </c>
      <c r="K8" s="343" t="s">
        <v>64</v>
      </c>
      <c r="L8" s="300">
        <v>50.097999999999999</v>
      </c>
      <c r="M8" s="299">
        <v>50.100999999999999</v>
      </c>
      <c r="N8" s="300">
        <v>50.917999999999999</v>
      </c>
      <c r="O8" s="359">
        <f t="shared" si="1"/>
        <v>817.00000000000023</v>
      </c>
      <c r="P8" s="355" t="s">
        <v>54</v>
      </c>
      <c r="Q8" s="180" t="s">
        <v>54</v>
      </c>
      <c r="R8" s="180"/>
      <c r="S8" s="180"/>
      <c r="T8" s="180"/>
      <c r="U8" s="180"/>
      <c r="V8" s="180"/>
      <c r="W8" s="180"/>
      <c r="X8" s="185"/>
      <c r="Y8" s="185"/>
      <c r="Z8" s="172"/>
    </row>
    <row r="9" spans="1:29" ht="80.900000000000006" customHeight="1" thickBot="1" x14ac:dyDescent="0.4">
      <c r="A9" s="343">
        <v>4</v>
      </c>
      <c r="B9" s="343">
        <v>5</v>
      </c>
      <c r="C9" s="343">
        <f t="shared" si="0"/>
        <v>0.6</v>
      </c>
      <c r="D9" s="357">
        <f t="shared" si="3"/>
        <v>11.111111111111112</v>
      </c>
      <c r="E9" s="357">
        <f t="shared" si="2"/>
        <v>38.388888888888893</v>
      </c>
      <c r="F9" s="229">
        <f t="shared" ref="F9:F16" si="5">G8-G9+F8</f>
        <v>662</v>
      </c>
      <c r="G9" s="351">
        <v>600</v>
      </c>
      <c r="H9" s="343"/>
      <c r="I9" s="343" t="s">
        <v>72</v>
      </c>
      <c r="J9" s="343" t="s">
        <v>132</v>
      </c>
      <c r="K9" s="343" t="s">
        <v>64</v>
      </c>
      <c r="L9" s="300">
        <v>95.879000000000005</v>
      </c>
      <c r="M9" s="300">
        <v>95.882999999999996</v>
      </c>
      <c r="N9" s="300">
        <v>96.86</v>
      </c>
      <c r="O9" s="359">
        <f t="shared" si="1"/>
        <v>977.00000000000387</v>
      </c>
      <c r="P9" s="355"/>
      <c r="Q9" s="185"/>
      <c r="R9" s="180"/>
      <c r="S9" s="180"/>
      <c r="T9" s="180"/>
      <c r="U9" s="180" t="s">
        <v>54</v>
      </c>
      <c r="V9" s="180"/>
      <c r="W9" s="180" t="s">
        <v>54</v>
      </c>
      <c r="X9" s="180" t="s">
        <v>54</v>
      </c>
      <c r="Y9" s="185"/>
      <c r="Z9" s="172"/>
    </row>
    <row r="10" spans="1:29" ht="67.5" customHeight="1" thickBot="1" x14ac:dyDescent="0.4">
      <c r="A10" s="343">
        <v>5</v>
      </c>
      <c r="B10" s="343">
        <v>5</v>
      </c>
      <c r="C10" s="343">
        <f t="shared" si="0"/>
        <v>0.6</v>
      </c>
      <c r="D10" s="357">
        <f t="shared" si="3"/>
        <v>1.3888888888888891</v>
      </c>
      <c r="E10" s="357">
        <f t="shared" si="2"/>
        <v>44.777777777777786</v>
      </c>
      <c r="F10" s="229">
        <f t="shared" si="5"/>
        <v>712</v>
      </c>
      <c r="G10" s="351">
        <v>550</v>
      </c>
      <c r="H10" s="343"/>
      <c r="I10" s="354" t="s">
        <v>67</v>
      </c>
      <c r="J10" s="354" t="s">
        <v>133</v>
      </c>
      <c r="K10" s="343" t="s">
        <v>116</v>
      </c>
      <c r="L10" s="302">
        <v>75.406000000000006</v>
      </c>
      <c r="M10" s="300">
        <v>75.412000000000006</v>
      </c>
      <c r="N10" s="299">
        <v>76.503</v>
      </c>
      <c r="O10" s="359">
        <f t="shared" si="1"/>
        <v>1090.9999999999941</v>
      </c>
      <c r="P10" s="355"/>
      <c r="Q10" s="185"/>
      <c r="R10" s="180"/>
      <c r="S10" s="180"/>
      <c r="T10" s="180" t="s">
        <v>54</v>
      </c>
      <c r="U10" s="180"/>
      <c r="V10" s="180" t="s">
        <v>54</v>
      </c>
      <c r="W10" s="180"/>
      <c r="X10" s="188"/>
      <c r="Y10" s="185"/>
      <c r="Z10" s="172" t="s">
        <v>232</v>
      </c>
    </row>
    <row r="11" spans="1:29" ht="66.75" customHeight="1" thickBot="1" x14ac:dyDescent="0.4">
      <c r="A11" s="343">
        <v>6</v>
      </c>
      <c r="B11" s="343">
        <v>5</v>
      </c>
      <c r="C11" s="343">
        <f t="shared" si="0"/>
        <v>0.6</v>
      </c>
      <c r="D11" s="357">
        <f t="shared" si="3"/>
        <v>1.3888888888888891</v>
      </c>
      <c r="E11" s="357">
        <f t="shared" si="2"/>
        <v>51.166666666666671</v>
      </c>
      <c r="F11" s="229">
        <f t="shared" si="5"/>
        <v>762</v>
      </c>
      <c r="G11" s="351">
        <v>500</v>
      </c>
      <c r="H11" s="343"/>
      <c r="I11" s="345" t="s">
        <v>68</v>
      </c>
      <c r="J11" s="343" t="s">
        <v>134</v>
      </c>
      <c r="K11" s="343" t="s">
        <v>64</v>
      </c>
      <c r="L11" s="300">
        <v>177.90199999999999</v>
      </c>
      <c r="M11" s="300">
        <v>177.90299999999999</v>
      </c>
      <c r="N11" s="300">
        <v>178.60300000000001</v>
      </c>
      <c r="O11" s="359">
        <f t="shared" si="1"/>
        <v>700.00000000001705</v>
      </c>
      <c r="P11" s="355" t="s">
        <v>54</v>
      </c>
      <c r="Q11" s="180" t="s">
        <v>54</v>
      </c>
      <c r="R11" s="180"/>
      <c r="S11" s="180"/>
      <c r="T11" s="180"/>
      <c r="U11" s="180"/>
      <c r="V11" s="180"/>
      <c r="W11" s="180"/>
      <c r="X11" s="185"/>
      <c r="Y11" s="185"/>
      <c r="Z11" s="172" t="s">
        <v>234</v>
      </c>
    </row>
    <row r="12" spans="1:29" ht="62.15" customHeight="1" thickBot="1" x14ac:dyDescent="0.4">
      <c r="A12" s="343">
        <v>7</v>
      </c>
      <c r="B12" s="343">
        <v>5</v>
      </c>
      <c r="C12" s="343">
        <f t="shared" si="0"/>
        <v>0.6</v>
      </c>
      <c r="D12" s="357">
        <f t="shared" si="3"/>
        <v>5.5555555555555562</v>
      </c>
      <c r="E12" s="357">
        <f t="shared" si="2"/>
        <v>61.722222222222229</v>
      </c>
      <c r="F12" s="229">
        <f t="shared" si="5"/>
        <v>962</v>
      </c>
      <c r="G12" s="351">
        <v>300</v>
      </c>
      <c r="H12" s="343"/>
      <c r="I12" s="343" t="s">
        <v>19</v>
      </c>
      <c r="J12" s="343" t="s">
        <v>126</v>
      </c>
      <c r="K12" s="343" t="s">
        <v>116</v>
      </c>
      <c r="L12" s="300">
        <v>26.599</v>
      </c>
      <c r="M12" s="300">
        <v>26.602</v>
      </c>
      <c r="N12" s="300">
        <v>27.699000000000002</v>
      </c>
      <c r="O12" s="359">
        <f t="shared" si="1"/>
        <v>1097.0000000000014</v>
      </c>
      <c r="P12" s="355"/>
      <c r="Q12" s="185"/>
      <c r="R12" s="185"/>
      <c r="S12" s="185"/>
      <c r="T12" s="185" t="s">
        <v>54</v>
      </c>
      <c r="U12" s="185"/>
      <c r="V12" s="185" t="s">
        <v>54</v>
      </c>
      <c r="W12" s="185"/>
      <c r="X12" s="185"/>
      <c r="Y12" s="185"/>
      <c r="Z12" s="172"/>
    </row>
    <row r="13" spans="1:29" ht="56.9" customHeight="1" thickBot="1" x14ac:dyDescent="0.4">
      <c r="A13" s="348">
        <v>8</v>
      </c>
      <c r="B13" s="348">
        <v>5</v>
      </c>
      <c r="C13" s="348">
        <v>0.6</v>
      </c>
      <c r="D13" s="357">
        <f t="shared" si="3"/>
        <v>1.3888888888888891</v>
      </c>
      <c r="E13" s="357">
        <f t="shared" si="2"/>
        <v>68.111111111111114</v>
      </c>
      <c r="F13" s="229">
        <f t="shared" si="5"/>
        <v>1012</v>
      </c>
      <c r="G13" s="351">
        <v>250</v>
      </c>
      <c r="H13" s="349"/>
      <c r="I13" s="38" t="s">
        <v>229</v>
      </c>
      <c r="J13" s="349" t="s">
        <v>131</v>
      </c>
      <c r="K13" s="343" t="s">
        <v>64</v>
      </c>
      <c r="L13" s="300">
        <v>69.463999999999999</v>
      </c>
      <c r="M13" s="299">
        <v>69.471000000000004</v>
      </c>
      <c r="N13" s="300">
        <v>70.162999999999997</v>
      </c>
      <c r="O13" s="359">
        <f t="shared" si="1"/>
        <v>691.99999999999307</v>
      </c>
      <c r="P13" s="355" t="s">
        <v>54</v>
      </c>
      <c r="Q13" s="185" t="s">
        <v>54</v>
      </c>
      <c r="R13" s="180"/>
      <c r="S13" s="180"/>
      <c r="T13" s="180"/>
      <c r="U13" s="340"/>
      <c r="V13" s="188"/>
      <c r="W13" s="340"/>
      <c r="X13" s="289"/>
      <c r="Y13" s="289"/>
      <c r="Z13" s="171"/>
    </row>
    <row r="14" spans="1:29" ht="62.15" customHeight="1" thickBot="1" x14ac:dyDescent="0.4">
      <c r="A14" s="354">
        <v>9</v>
      </c>
      <c r="B14" s="354">
        <v>5</v>
      </c>
      <c r="C14" s="354">
        <v>0.6</v>
      </c>
      <c r="D14" s="357">
        <f t="shared" si="3"/>
        <v>2.7777777777777781</v>
      </c>
      <c r="E14" s="357">
        <f t="shared" si="2"/>
        <v>75.888888888888886</v>
      </c>
      <c r="F14" s="229">
        <f t="shared" si="5"/>
        <v>1112</v>
      </c>
      <c r="G14" s="354">
        <v>150</v>
      </c>
      <c r="H14" s="354"/>
      <c r="I14" s="343" t="s">
        <v>69</v>
      </c>
      <c r="J14" s="343" t="s">
        <v>135</v>
      </c>
      <c r="K14" s="343" t="s">
        <v>116</v>
      </c>
      <c r="L14" s="300">
        <v>5.2553000000000001</v>
      </c>
      <c r="M14" s="302">
        <v>5.2560000000000002</v>
      </c>
      <c r="N14" s="300">
        <v>5.8312999999999997</v>
      </c>
      <c r="O14" s="359">
        <f t="shared" si="1"/>
        <v>575.2999999999995</v>
      </c>
      <c r="P14" s="355"/>
      <c r="Q14" s="185"/>
      <c r="R14" s="188"/>
      <c r="S14" s="188"/>
      <c r="T14" s="188" t="s">
        <v>54</v>
      </c>
      <c r="U14" s="188"/>
      <c r="V14" s="185" t="s">
        <v>54</v>
      </c>
      <c r="W14" s="188"/>
      <c r="X14" s="188"/>
      <c r="Y14" s="188"/>
      <c r="Z14" s="304"/>
    </row>
    <row r="15" spans="1:29" ht="61.5" customHeight="1" thickBot="1" x14ac:dyDescent="0.4">
      <c r="A15" s="343">
        <v>10</v>
      </c>
      <c r="B15" s="343">
        <v>5</v>
      </c>
      <c r="C15" s="343">
        <f>$C$19</f>
        <v>0.6</v>
      </c>
      <c r="D15" s="357">
        <f t="shared" si="3"/>
        <v>1.3888888888888891</v>
      </c>
      <c r="E15" s="357">
        <f t="shared" si="2"/>
        <v>82.277777777777771</v>
      </c>
      <c r="F15" s="229">
        <f t="shared" si="5"/>
        <v>1162</v>
      </c>
      <c r="G15" s="351">
        <v>100</v>
      </c>
      <c r="H15" s="343"/>
      <c r="I15" s="343" t="s">
        <v>70</v>
      </c>
      <c r="J15" s="343" t="s">
        <v>130</v>
      </c>
      <c r="K15" s="343" t="s">
        <v>116</v>
      </c>
      <c r="L15" s="300">
        <v>8.9030000000000005</v>
      </c>
      <c r="M15" s="300">
        <v>8.9049999999999994</v>
      </c>
      <c r="N15" s="300">
        <v>9.7029999999999994</v>
      </c>
      <c r="O15" s="359">
        <f t="shared" si="1"/>
        <v>798</v>
      </c>
      <c r="P15" s="355"/>
      <c r="Q15" s="180"/>
      <c r="R15" s="180"/>
      <c r="S15" s="180"/>
      <c r="T15" s="180" t="s">
        <v>54</v>
      </c>
      <c r="U15" s="180"/>
      <c r="V15" s="185" t="s">
        <v>54</v>
      </c>
      <c r="W15" s="180"/>
      <c r="X15" s="185"/>
      <c r="Y15" s="185"/>
      <c r="Z15" s="172"/>
    </row>
    <row r="16" spans="1:29" ht="51" customHeight="1" x14ac:dyDescent="0.35">
      <c r="A16" s="806">
        <v>11</v>
      </c>
      <c r="B16" s="806">
        <v>5</v>
      </c>
      <c r="C16" s="806">
        <f>$C$19</f>
        <v>0.6</v>
      </c>
      <c r="D16" s="807">
        <f t="shared" si="3"/>
        <v>0.69444444444444453</v>
      </c>
      <c r="E16" s="807">
        <f>E15+D16+B16</f>
        <v>87.972222222222214</v>
      </c>
      <c r="F16" s="858">
        <f t="shared" si="5"/>
        <v>1187</v>
      </c>
      <c r="G16" s="861">
        <v>75</v>
      </c>
      <c r="H16" s="806"/>
      <c r="I16" s="759" t="s">
        <v>23</v>
      </c>
      <c r="J16" s="350" t="s">
        <v>204</v>
      </c>
      <c r="K16" s="296" t="s">
        <v>64</v>
      </c>
      <c r="L16" s="288">
        <v>3.6966999999999999</v>
      </c>
      <c r="M16" s="297">
        <v>3.6970999999999998</v>
      </c>
      <c r="N16" s="288">
        <v>4.0921000000000003</v>
      </c>
      <c r="O16" s="359">
        <f t="shared" si="1"/>
        <v>395.00000000000045</v>
      </c>
      <c r="P16" s="875"/>
      <c r="Q16" s="298"/>
      <c r="R16" s="298"/>
      <c r="S16" s="298"/>
      <c r="T16" s="298"/>
      <c r="U16" s="298" t="s">
        <v>54</v>
      </c>
      <c r="V16" s="298"/>
      <c r="W16" s="298" t="s">
        <v>54</v>
      </c>
      <c r="X16" s="298" t="s">
        <v>54</v>
      </c>
      <c r="Y16" s="298" t="s">
        <v>54</v>
      </c>
      <c r="Z16" s="369" t="s">
        <v>235</v>
      </c>
    </row>
    <row r="17" spans="1:28" ht="55.5" customHeight="1" x14ac:dyDescent="0.35">
      <c r="A17" s="742"/>
      <c r="B17" s="742"/>
      <c r="C17" s="742"/>
      <c r="D17" s="789"/>
      <c r="E17" s="789"/>
      <c r="F17" s="791"/>
      <c r="G17" s="862"/>
      <c r="H17" s="742"/>
      <c r="I17" s="760"/>
      <c r="J17" s="348" t="s">
        <v>151</v>
      </c>
      <c r="K17" s="176" t="s">
        <v>116</v>
      </c>
      <c r="L17" s="287">
        <v>4.9314</v>
      </c>
      <c r="M17" s="287">
        <v>4.9321000000000002</v>
      </c>
      <c r="N17" s="287">
        <v>5.4097</v>
      </c>
      <c r="O17" s="362">
        <f t="shared" si="1"/>
        <v>477.5999999999998</v>
      </c>
      <c r="P17" s="876"/>
      <c r="Q17" s="183"/>
      <c r="R17" s="183"/>
      <c r="S17" s="183"/>
      <c r="T17" s="183" t="s">
        <v>54</v>
      </c>
      <c r="U17" s="183"/>
      <c r="V17" s="183" t="s">
        <v>54</v>
      </c>
      <c r="W17" s="183"/>
      <c r="X17" s="183"/>
      <c r="Y17" s="183"/>
      <c r="Z17" s="368"/>
    </row>
    <row r="18" spans="1:28" ht="52.5" customHeight="1" thickBot="1" x14ac:dyDescent="0.4">
      <c r="A18" s="743"/>
      <c r="B18" s="743"/>
      <c r="C18" s="743"/>
      <c r="D18" s="790"/>
      <c r="E18" s="790"/>
      <c r="F18" s="792"/>
      <c r="G18" s="863"/>
      <c r="H18" s="743"/>
      <c r="I18" s="761"/>
      <c r="J18" s="349" t="s">
        <v>179</v>
      </c>
      <c r="K18" s="349"/>
      <c r="L18" s="299">
        <v>8.468</v>
      </c>
      <c r="M18" s="299">
        <v>8.4694000000000003</v>
      </c>
      <c r="N18" s="299">
        <v>9.3401999999999994</v>
      </c>
      <c r="O18" s="366">
        <f t="shared" si="1"/>
        <v>870.79999999999916</v>
      </c>
      <c r="P18" s="877"/>
      <c r="Q18" s="180"/>
      <c r="R18" s="180"/>
      <c r="S18" s="180"/>
      <c r="T18" s="180"/>
      <c r="U18" s="180"/>
      <c r="V18" s="180"/>
      <c r="W18" s="180"/>
      <c r="X18" s="180"/>
      <c r="Y18" s="185"/>
      <c r="Z18" s="171"/>
    </row>
    <row r="19" spans="1:28" ht="63.75" customHeight="1" thickBot="1" x14ac:dyDescent="0.4">
      <c r="A19" s="343">
        <v>12</v>
      </c>
      <c r="B19" s="343">
        <v>5</v>
      </c>
      <c r="C19" s="343">
        <v>0.6</v>
      </c>
      <c r="D19" s="344">
        <f>(F19-F16)/C19/60</f>
        <v>0.69444444444444453</v>
      </c>
      <c r="E19" s="344">
        <f>B19+D19+E16</f>
        <v>93.666666666666657</v>
      </c>
      <c r="F19" s="229">
        <f>G16-G19+F16</f>
        <v>1212</v>
      </c>
      <c r="G19" s="351">
        <v>50</v>
      </c>
      <c r="H19" s="326"/>
      <c r="I19" s="343" t="s">
        <v>31</v>
      </c>
      <c r="J19" s="343" t="s">
        <v>127</v>
      </c>
      <c r="K19" s="343" t="s">
        <v>64</v>
      </c>
      <c r="L19" s="300">
        <v>47.970999999999997</v>
      </c>
      <c r="M19" s="300">
        <v>47.978999999999999</v>
      </c>
      <c r="N19" s="300">
        <v>48.454999999999998</v>
      </c>
      <c r="O19" s="359">
        <f t="shared" si="1"/>
        <v>475.99999999999909</v>
      </c>
      <c r="P19" s="355" t="s">
        <v>54</v>
      </c>
      <c r="Q19" s="185" t="s">
        <v>54</v>
      </c>
      <c r="R19" s="185"/>
      <c r="S19" s="185"/>
      <c r="T19" s="185"/>
      <c r="U19" s="185"/>
      <c r="V19" s="185"/>
      <c r="W19" s="339"/>
      <c r="X19" s="185"/>
      <c r="Y19" s="185"/>
      <c r="Z19" s="172"/>
    </row>
    <row r="20" spans="1:28" ht="53.9" customHeight="1" x14ac:dyDescent="0.35">
      <c r="A20" s="742">
        <v>13</v>
      </c>
      <c r="B20" s="742">
        <v>5</v>
      </c>
      <c r="C20" s="806">
        <f>$C$19</f>
        <v>0.6</v>
      </c>
      <c r="D20" s="852">
        <f>(F20-F19)/C20/60</f>
        <v>0.55555555555555558</v>
      </c>
      <c r="E20" s="789">
        <f>E19+B20+D20</f>
        <v>99.222222222222214</v>
      </c>
      <c r="F20" s="858">
        <f>G19-G20+F19</f>
        <v>1232</v>
      </c>
      <c r="G20" s="742">
        <v>30</v>
      </c>
      <c r="H20" s="742"/>
      <c r="I20" s="742" t="s">
        <v>27</v>
      </c>
      <c r="J20" s="347" t="s">
        <v>150</v>
      </c>
      <c r="K20" s="175" t="s">
        <v>64</v>
      </c>
      <c r="L20" s="297" t="s">
        <v>14</v>
      </c>
      <c r="M20" s="364">
        <v>4.4752000000000001</v>
      </c>
      <c r="N20" s="288">
        <v>4.6901000000000002</v>
      </c>
      <c r="O20" s="359">
        <f t="shared" si="1"/>
        <v>214.90000000000009</v>
      </c>
      <c r="P20" s="876"/>
      <c r="Q20" s="181"/>
      <c r="R20" s="181"/>
      <c r="S20" s="181"/>
      <c r="T20" s="181"/>
      <c r="U20" s="340" t="s">
        <v>54</v>
      </c>
      <c r="V20" s="340"/>
      <c r="W20" s="298" t="s">
        <v>54</v>
      </c>
      <c r="X20" s="298" t="s">
        <v>54</v>
      </c>
      <c r="Y20" s="298" t="s">
        <v>54</v>
      </c>
      <c r="Z20" s="370" t="s">
        <v>236</v>
      </c>
    </row>
    <row r="21" spans="1:28" ht="57.75" customHeight="1" x14ac:dyDescent="0.35">
      <c r="A21" s="742"/>
      <c r="B21" s="742"/>
      <c r="C21" s="742"/>
      <c r="D21" s="852"/>
      <c r="E21" s="789"/>
      <c r="F21" s="791"/>
      <c r="G21" s="742"/>
      <c r="H21" s="742"/>
      <c r="I21" s="742"/>
      <c r="J21" s="348" t="s">
        <v>151</v>
      </c>
      <c r="K21" s="176" t="s">
        <v>116</v>
      </c>
      <c r="L21" s="287">
        <v>5.5979999999999999</v>
      </c>
      <c r="M21" s="363">
        <v>5.5997000000000003</v>
      </c>
      <c r="N21" s="287">
        <v>6.0655000000000001</v>
      </c>
      <c r="O21" s="362">
        <f t="shared" si="1"/>
        <v>465.79999999999978</v>
      </c>
      <c r="P21" s="876"/>
      <c r="Q21" s="183"/>
      <c r="R21" s="183"/>
      <c r="S21" s="183"/>
      <c r="T21" s="183" t="s">
        <v>54</v>
      </c>
      <c r="U21" s="183"/>
      <c r="V21" s="183" t="s">
        <v>54</v>
      </c>
      <c r="W21" s="183"/>
      <c r="X21" s="183"/>
      <c r="Y21" s="183"/>
      <c r="Z21" s="368"/>
    </row>
    <row r="22" spans="1:28" ht="64.5" customHeight="1" thickBot="1" x14ac:dyDescent="0.4">
      <c r="A22" s="743"/>
      <c r="B22" s="743"/>
      <c r="C22" s="743"/>
      <c r="D22" s="853"/>
      <c r="E22" s="790"/>
      <c r="F22" s="792"/>
      <c r="G22" s="743"/>
      <c r="H22" s="743"/>
      <c r="I22" s="743"/>
      <c r="J22" s="349" t="s">
        <v>179</v>
      </c>
      <c r="K22" s="349"/>
      <c r="L22" s="299">
        <v>9.8194999999999997</v>
      </c>
      <c r="M22" s="365">
        <v>9.8207000000000004</v>
      </c>
      <c r="N22" s="299">
        <v>10.526</v>
      </c>
      <c r="O22" s="361">
        <f t="shared" si="1"/>
        <v>705.29999999999939</v>
      </c>
      <c r="P22" s="877"/>
      <c r="Q22" s="180"/>
      <c r="R22" s="180"/>
      <c r="S22" s="180"/>
      <c r="T22" s="180"/>
      <c r="U22" s="180"/>
      <c r="V22" s="180"/>
      <c r="W22" s="180"/>
      <c r="X22" s="180"/>
      <c r="Y22" s="185"/>
      <c r="Z22" s="171"/>
    </row>
    <row r="23" spans="1:28" ht="40.5" thickBot="1" x14ac:dyDescent="0.6">
      <c r="A23" s="24" t="s">
        <v>10</v>
      </c>
      <c r="B23" s="347">
        <f>SUM(B6:B22)</f>
        <v>65</v>
      </c>
      <c r="C23" s="347"/>
      <c r="D23" s="353">
        <f>SUM(D6:D22)</f>
        <v>34.222222222222221</v>
      </c>
      <c r="E23" s="353">
        <f>D23+B23</f>
        <v>99.222222222222229</v>
      </c>
      <c r="F23" s="144">
        <f>G6</f>
        <v>1270</v>
      </c>
      <c r="G23" s="827" t="s">
        <v>18</v>
      </c>
      <c r="H23" s="856"/>
      <c r="I23" s="856"/>
      <c r="J23" s="9"/>
      <c r="K23" s="145" t="s">
        <v>103</v>
      </c>
      <c r="L23" s="838" t="s">
        <v>102</v>
      </c>
      <c r="M23" s="855"/>
      <c r="N23" s="252" t="s">
        <v>53</v>
      </c>
      <c r="O23" s="22"/>
    </row>
    <row r="24" spans="1:28" ht="46" x14ac:dyDescent="0.35">
      <c r="A24" s="26" t="s">
        <v>12</v>
      </c>
      <c r="B24" s="348">
        <f>B23/60</f>
        <v>1.0833333333333333</v>
      </c>
      <c r="C24" s="348"/>
      <c r="D24" s="352" t="s">
        <v>14</v>
      </c>
      <c r="E24" s="352"/>
      <c r="F24" s="253"/>
      <c r="J24" s="95" t="s">
        <v>145</v>
      </c>
      <c r="K24" s="30">
        <v>44227</v>
      </c>
      <c r="L24" s="883">
        <v>2.0833333333333332E-2</v>
      </c>
      <c r="M24" s="884"/>
      <c r="N24" s="367">
        <v>0.9375</v>
      </c>
      <c r="O24" s="22"/>
      <c r="AB24">
        <v>1</v>
      </c>
    </row>
    <row r="25" spans="1:28" ht="46" x14ac:dyDescent="0.35">
      <c r="J25" s="96" t="s">
        <v>45</v>
      </c>
      <c r="K25" s="30">
        <v>44228</v>
      </c>
      <c r="L25" s="881">
        <v>0.10416666666666667</v>
      </c>
      <c r="M25" s="885"/>
      <c r="N25" s="367">
        <v>0.97916666666666663</v>
      </c>
      <c r="O25" s="22"/>
    </row>
    <row r="26" spans="1:28" ht="46" x14ac:dyDescent="0.35">
      <c r="A26" s="1"/>
      <c r="B26" s="1"/>
      <c r="C26" s="1"/>
      <c r="D26" s="1"/>
      <c r="E26" s="1"/>
      <c r="F26" s="1"/>
      <c r="G26" s="1"/>
      <c r="J26" s="96" t="s">
        <v>46</v>
      </c>
      <c r="K26" s="30">
        <v>44228</v>
      </c>
      <c r="L26" s="881">
        <v>0.22916666666666666</v>
      </c>
      <c r="M26" s="882"/>
      <c r="N26" s="367">
        <v>44228.104166666664</v>
      </c>
      <c r="O26" s="22"/>
    </row>
    <row r="27" spans="1:28" ht="46" x14ac:dyDescent="0.35">
      <c r="A27" s="857" t="s">
        <v>52</v>
      </c>
      <c r="B27" s="857"/>
      <c r="C27" s="857"/>
      <c r="D27" s="857"/>
      <c r="E27" s="857"/>
      <c r="F27" s="857"/>
      <c r="J27" s="96" t="s">
        <v>47</v>
      </c>
      <c r="K27" s="30">
        <v>44228</v>
      </c>
      <c r="L27" s="881">
        <v>0.27083333333333331</v>
      </c>
      <c r="M27" s="882"/>
      <c r="N27" s="367">
        <v>44228.145833333336</v>
      </c>
      <c r="O27" s="22"/>
    </row>
    <row r="28" spans="1:28" ht="20" x14ac:dyDescent="0.4">
      <c r="A28" s="17" t="s">
        <v>51</v>
      </c>
      <c r="B28" s="17"/>
      <c r="C28" s="17"/>
      <c r="F28" s="9">
        <v>8</v>
      </c>
      <c r="G28" s="20" t="s">
        <v>11</v>
      </c>
      <c r="J28" s="17"/>
      <c r="K28" s="19"/>
      <c r="O28" s="22"/>
    </row>
    <row r="29" spans="1:28" ht="60" x14ac:dyDescent="0.6">
      <c r="A29" s="120" t="s">
        <v>168</v>
      </c>
      <c r="F29" s="145">
        <v>10</v>
      </c>
      <c r="G29" s="17" t="s">
        <v>169</v>
      </c>
      <c r="J29" s="10" t="s">
        <v>50</v>
      </c>
      <c r="K29" s="31">
        <f>E23+F29</f>
        <v>109.22222222222223</v>
      </c>
      <c r="O29" s="22"/>
    </row>
    <row r="30" spans="1:28" ht="60" x14ac:dyDescent="0.7">
      <c r="A30" s="146"/>
      <c r="C30" s="120" t="s">
        <v>231</v>
      </c>
      <c r="F30" s="17"/>
      <c r="G30" s="17"/>
      <c r="H30" s="17"/>
      <c r="I30" s="15"/>
      <c r="J30" s="10" t="s">
        <v>49</v>
      </c>
      <c r="K30" s="31">
        <f>D23+5*A15+F29</f>
        <v>94.222222222222229</v>
      </c>
      <c r="O30" s="22"/>
    </row>
    <row r="31" spans="1:28" ht="29.5" x14ac:dyDescent="0.55000000000000004">
      <c r="A31" s="147"/>
      <c r="B31" s="20"/>
      <c r="C31" s="17"/>
      <c r="I31" s="9"/>
      <c r="J31" s="1"/>
      <c r="K31" s="1"/>
      <c r="L31" s="1"/>
      <c r="M31" s="2"/>
    </row>
    <row r="32" spans="1:28" ht="20" x14ac:dyDescent="0.4">
      <c r="C32" s="17"/>
      <c r="D32" s="17"/>
      <c r="E32" s="17" t="s">
        <v>14</v>
      </c>
      <c r="F32" s="17"/>
      <c r="I32" s="15"/>
      <c r="J32" s="1"/>
      <c r="K32" s="1"/>
      <c r="L32" s="1"/>
      <c r="M32" s="2"/>
    </row>
    <row r="33" spans="1:15" ht="20" x14ac:dyDescent="0.4">
      <c r="A33" s="19" t="s">
        <v>226</v>
      </c>
      <c r="B33" s="20"/>
      <c r="C33" s="17"/>
      <c r="D33" s="17"/>
      <c r="E33" s="23"/>
      <c r="F33" s="17"/>
      <c r="G33" s="17"/>
      <c r="H33" s="17"/>
      <c r="I33" s="15"/>
      <c r="J33" s="1"/>
      <c r="K33" s="1"/>
      <c r="L33" s="1"/>
      <c r="M33" s="2"/>
      <c r="N33" s="2"/>
      <c r="O33" s="2"/>
    </row>
    <row r="34" spans="1:15" ht="20" x14ac:dyDescent="0.4">
      <c r="A34" s="19"/>
      <c r="B34" s="20"/>
      <c r="C34" s="17"/>
      <c r="D34" s="17"/>
      <c r="E34" s="17"/>
      <c r="F34" s="17"/>
      <c r="G34" s="17"/>
      <c r="H34" s="17"/>
      <c r="I34" s="15"/>
      <c r="J34" s="1"/>
      <c r="K34" s="1"/>
      <c r="L34" s="1"/>
      <c r="M34" s="2"/>
    </row>
    <row r="35" spans="1:15" ht="18.5" x14ac:dyDescent="0.45">
      <c r="A35" s="16"/>
      <c r="B35" s="16"/>
      <c r="C35" s="16"/>
      <c r="D35" s="16"/>
      <c r="E35" s="16"/>
      <c r="F35" s="16"/>
      <c r="G35" s="16"/>
      <c r="H35" s="16"/>
      <c r="I35" s="16"/>
    </row>
    <row r="89" spans="13:13" x14ac:dyDescent="0.35">
      <c r="M89" t="s">
        <v>14</v>
      </c>
    </row>
  </sheetData>
  <mergeCells count="31">
    <mergeCell ref="P20:P22"/>
    <mergeCell ref="L25:M25"/>
    <mergeCell ref="A20:A22"/>
    <mergeCell ref="B20:B22"/>
    <mergeCell ref="C20:C22"/>
    <mergeCell ref="D20:D22"/>
    <mergeCell ref="E20:E22"/>
    <mergeCell ref="G20:G22"/>
    <mergeCell ref="H20:H22"/>
    <mergeCell ref="I20:I22"/>
    <mergeCell ref="L26:M26"/>
    <mergeCell ref="A27:F27"/>
    <mergeCell ref="L27:M27"/>
    <mergeCell ref="G16:G18"/>
    <mergeCell ref="H16:H18"/>
    <mergeCell ref="I16:I18"/>
    <mergeCell ref="A16:A18"/>
    <mergeCell ref="B16:B18"/>
    <mergeCell ref="C16:C18"/>
    <mergeCell ref="D16:D18"/>
    <mergeCell ref="E16:E18"/>
    <mergeCell ref="F16:F18"/>
    <mergeCell ref="F20:F22"/>
    <mergeCell ref="G23:I23"/>
    <mergeCell ref="L23:M23"/>
    <mergeCell ref="L24:M24"/>
    <mergeCell ref="P16:P18"/>
    <mergeCell ref="M3:O3"/>
    <mergeCell ref="Q4:S4"/>
    <mergeCell ref="T4:W4"/>
    <mergeCell ref="L5:M5"/>
  </mergeCells>
  <pageMargins left="0.7" right="0.7" top="0.75" bottom="0.75" header="0.3" footer="0.3"/>
  <pageSetup paperSize="9" scale="2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topLeftCell="A7" zoomScale="40" zoomScaleNormal="40" workbookViewId="0">
      <selection activeCell="W12" sqref="W12:W21"/>
    </sheetView>
  </sheetViews>
  <sheetFormatPr defaultColWidth="11.453125" defaultRowHeight="14.5" x14ac:dyDescent="0.35"/>
  <cols>
    <col min="1" max="1" width="12.08984375" customWidth="1"/>
    <col min="2" max="2" width="13" customWidth="1"/>
    <col min="3" max="3" width="15.453125" customWidth="1"/>
    <col min="4" max="5" width="14.453125" customWidth="1"/>
    <col min="6" max="6" width="19.90625" customWidth="1"/>
    <col min="7" max="7" width="13.453125" customWidth="1"/>
    <col min="8" max="8" width="13.90625" customWidth="1"/>
    <col min="9" max="9" width="30.453125" customWidth="1"/>
    <col min="10" max="10" width="21.08984375" customWidth="1"/>
    <col min="11" max="11" width="20.90625" customWidth="1"/>
    <col min="12" max="12" width="11.453125" customWidth="1"/>
    <col min="13" max="14" width="10" customWidth="1"/>
    <col min="15" max="15" width="16.08984375" customWidth="1"/>
    <col min="16" max="16" width="15.90625" customWidth="1"/>
    <col min="17" max="17" width="11.90625" customWidth="1"/>
    <col min="18" max="18" width="6.453125" customWidth="1"/>
    <col min="19" max="19" width="10.453125" bestFit="1" customWidth="1"/>
    <col min="20" max="20" width="10.453125" customWidth="1"/>
    <col min="21" max="21" width="12.08984375" bestFit="1" customWidth="1"/>
    <col min="22" max="22" width="6.453125" customWidth="1"/>
    <col min="23" max="23" width="12.453125" bestFit="1" customWidth="1"/>
    <col min="24" max="24" width="8.453125" customWidth="1"/>
    <col min="25" max="25" width="66.453125" customWidth="1"/>
    <col min="26" max="26" width="10.453125" customWidth="1"/>
    <col min="27" max="27" width="10.453125" bestFit="1" customWidth="1"/>
    <col min="28" max="28" width="34.453125" customWidth="1"/>
  </cols>
  <sheetData>
    <row r="1" spans="1:28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8" ht="41.25" customHeight="1" x14ac:dyDescent="0.65">
      <c r="A2" s="84" t="s">
        <v>36</v>
      </c>
      <c r="B2" s="83"/>
      <c r="C2" s="98" t="s">
        <v>239</v>
      </c>
      <c r="D2" s="83"/>
      <c r="H2" s="91" t="s">
        <v>96</v>
      </c>
      <c r="I2" s="423" t="s">
        <v>257</v>
      </c>
      <c r="J2" s="89" t="s">
        <v>99</v>
      </c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8" ht="30" x14ac:dyDescent="0.6">
      <c r="A3" s="119" t="s">
        <v>136</v>
      </c>
      <c r="B3" s="120"/>
      <c r="C3" s="121">
        <v>3705</v>
      </c>
      <c r="D3" s="122" t="s">
        <v>11</v>
      </c>
      <c r="E3" s="1"/>
      <c r="F3" s="1"/>
      <c r="G3" s="1"/>
      <c r="H3" s="92" t="s">
        <v>97</v>
      </c>
      <c r="I3" s="423" t="s">
        <v>258</v>
      </c>
      <c r="J3" s="89" t="s">
        <v>100</v>
      </c>
      <c r="K3" s="1"/>
      <c r="L3" s="1"/>
      <c r="M3" s="831" t="s">
        <v>43</v>
      </c>
      <c r="N3" s="832"/>
      <c r="O3" s="832"/>
      <c r="P3" s="833"/>
      <c r="Q3" s="385"/>
      <c r="R3" s="385"/>
      <c r="S3" s="385"/>
      <c r="T3" s="385"/>
      <c r="U3" s="385"/>
      <c r="V3" s="385"/>
      <c r="W3" s="385"/>
      <c r="X3" s="385"/>
    </row>
    <row r="4" spans="1:28" ht="20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3" t="s">
        <v>48</v>
      </c>
    </row>
    <row r="5" spans="1:28" ht="62.5" x14ac:dyDescent="0.6">
      <c r="A5" s="11" t="s">
        <v>98</v>
      </c>
      <c r="B5" s="11" t="s">
        <v>0</v>
      </c>
      <c r="C5" s="11" t="s">
        <v>17</v>
      </c>
      <c r="D5" s="11" t="s">
        <v>1</v>
      </c>
      <c r="E5" s="11" t="s">
        <v>2</v>
      </c>
      <c r="F5" s="189" t="s">
        <v>3</v>
      </c>
      <c r="G5" s="189" t="s">
        <v>4</v>
      </c>
      <c r="H5" s="189" t="s">
        <v>5</v>
      </c>
      <c r="I5" s="190" t="s">
        <v>16</v>
      </c>
      <c r="J5" s="383" t="s">
        <v>15</v>
      </c>
      <c r="K5" s="383" t="s">
        <v>66</v>
      </c>
      <c r="L5" s="818" t="s">
        <v>143</v>
      </c>
      <c r="M5" s="819"/>
      <c r="N5" s="818" t="s">
        <v>144</v>
      </c>
      <c r="O5" s="819"/>
      <c r="P5" s="818" t="s">
        <v>8</v>
      </c>
      <c r="Q5" s="819"/>
      <c r="R5" s="28" t="s">
        <v>41</v>
      </c>
      <c r="S5" s="28" t="s">
        <v>40</v>
      </c>
      <c r="T5" s="28" t="s">
        <v>184</v>
      </c>
      <c r="U5" s="28" t="s">
        <v>39</v>
      </c>
      <c r="V5" s="28" t="s">
        <v>178</v>
      </c>
      <c r="W5" s="28" t="s">
        <v>148</v>
      </c>
      <c r="X5" s="28" t="s">
        <v>42</v>
      </c>
      <c r="Y5" s="53"/>
      <c r="AB5" s="120">
        <f>SUM(P6:Q16,P19,P22)</f>
        <v>10531.099999999993</v>
      </c>
    </row>
    <row r="6" spans="1:28" ht="46.5" customHeight="1" thickBot="1" x14ac:dyDescent="0.4">
      <c r="A6" s="372">
        <v>1</v>
      </c>
      <c r="B6" s="372">
        <v>6</v>
      </c>
      <c r="C6" s="372">
        <v>0.8</v>
      </c>
      <c r="D6" s="374">
        <f>ABS(F6/C6/60)</f>
        <v>0.14583333333333334</v>
      </c>
      <c r="E6" s="374">
        <f>D6+B6</f>
        <v>6.145833333333333</v>
      </c>
      <c r="F6" s="375">
        <v>-7</v>
      </c>
      <c r="G6" s="384">
        <f>C3-50</f>
        <v>3655</v>
      </c>
      <c r="H6" s="402" t="s">
        <v>244</v>
      </c>
      <c r="I6" s="377" t="s">
        <v>58</v>
      </c>
      <c r="J6" s="377" t="s">
        <v>149</v>
      </c>
      <c r="K6" s="372" t="s">
        <v>64</v>
      </c>
      <c r="L6" s="734">
        <v>14.492000000000001</v>
      </c>
      <c r="M6" s="735"/>
      <c r="N6" s="810">
        <v>15.327</v>
      </c>
      <c r="O6" s="811"/>
      <c r="P6" s="810">
        <f>(N6-L6)*1000</f>
        <v>834.99999999999909</v>
      </c>
      <c r="Q6" s="811"/>
      <c r="R6" s="372"/>
      <c r="S6" s="372"/>
      <c r="T6" s="372"/>
      <c r="U6" s="141" t="s">
        <v>54</v>
      </c>
      <c r="V6" s="141" t="s">
        <v>54</v>
      </c>
      <c r="W6" s="141"/>
      <c r="X6" s="141" t="s">
        <v>54</v>
      </c>
      <c r="Y6" s="54"/>
    </row>
    <row r="7" spans="1:28" ht="46.5" customHeight="1" thickBot="1" x14ac:dyDescent="0.4">
      <c r="A7" s="372">
        <v>2</v>
      </c>
      <c r="B7" s="372">
        <v>6</v>
      </c>
      <c r="C7" s="389">
        <v>0.6</v>
      </c>
      <c r="D7" s="374">
        <f>(F7-F6)/C7/60</f>
        <v>39.027777777777786</v>
      </c>
      <c r="E7" s="374">
        <f t="shared" ref="E7:E17" si="0">E6+B7+D7</f>
        <v>51.173611111111114</v>
      </c>
      <c r="F7" s="144">
        <f>G$6-G7-$F$28+1</f>
        <v>1398</v>
      </c>
      <c r="G7" s="372">
        <v>2250</v>
      </c>
      <c r="H7" s="419" t="s">
        <v>242</v>
      </c>
      <c r="I7" s="377" t="s">
        <v>70</v>
      </c>
      <c r="J7" s="377" t="s">
        <v>130</v>
      </c>
      <c r="K7" s="372" t="s">
        <v>64</v>
      </c>
      <c r="L7" s="734">
        <v>9.7040000000000006</v>
      </c>
      <c r="M7" s="735"/>
      <c r="N7" s="816">
        <v>10.776</v>
      </c>
      <c r="O7" s="817"/>
      <c r="P7" s="810">
        <f t="shared" ref="P7:P22" si="1">(N7-L7)*1000</f>
        <v>1071.9999999999991</v>
      </c>
      <c r="Q7" s="811"/>
      <c r="R7" s="372"/>
      <c r="S7" s="372"/>
      <c r="T7" s="372"/>
      <c r="U7" s="141" t="s">
        <v>54</v>
      </c>
      <c r="V7" s="141" t="s">
        <v>54</v>
      </c>
      <c r="W7" s="141"/>
      <c r="X7" s="141" t="s">
        <v>54</v>
      </c>
      <c r="Y7" s="54"/>
    </row>
    <row r="8" spans="1:28" ht="46.5" customHeight="1" thickBot="1" x14ac:dyDescent="0.4">
      <c r="A8" s="372">
        <v>3</v>
      </c>
      <c r="B8" s="372">
        <v>6</v>
      </c>
      <c r="C8" s="389">
        <v>0.6</v>
      </c>
      <c r="D8" s="374">
        <f>(F8-F7)/C8/60</f>
        <v>29.166666666666668</v>
      </c>
      <c r="E8" s="374">
        <f t="shared" si="0"/>
        <v>86.340277777777786</v>
      </c>
      <c r="F8" s="144">
        <f>G$7-G8+F7</f>
        <v>2448</v>
      </c>
      <c r="G8" s="372">
        <v>1200</v>
      </c>
      <c r="H8" s="402" t="s">
        <v>189</v>
      </c>
      <c r="I8" s="377" t="s">
        <v>60</v>
      </c>
      <c r="J8" s="372" t="s">
        <v>129</v>
      </c>
      <c r="K8" s="372" t="s">
        <v>64</v>
      </c>
      <c r="L8" s="734">
        <v>50.918999999999997</v>
      </c>
      <c r="M8" s="735"/>
      <c r="N8" s="816">
        <v>51.704999999999998</v>
      </c>
      <c r="O8" s="817"/>
      <c r="P8" s="810">
        <f t="shared" si="1"/>
        <v>786.00000000000136</v>
      </c>
      <c r="Q8" s="811"/>
      <c r="R8" s="372"/>
      <c r="S8" s="372"/>
      <c r="T8" s="372"/>
      <c r="U8" s="141" t="s">
        <v>54</v>
      </c>
      <c r="V8" s="141" t="s">
        <v>54</v>
      </c>
      <c r="W8" s="141"/>
      <c r="X8" s="141" t="s">
        <v>54</v>
      </c>
      <c r="Y8" s="54"/>
    </row>
    <row r="9" spans="1:28" ht="46.5" customHeight="1" thickBot="1" x14ac:dyDescent="0.4">
      <c r="A9" s="372">
        <v>4</v>
      </c>
      <c r="B9" s="372">
        <v>6</v>
      </c>
      <c r="C9" s="372">
        <v>0.8</v>
      </c>
      <c r="D9" s="374">
        <f>(F9-F8)/C9/60</f>
        <v>7.916666666666667</v>
      </c>
      <c r="E9" s="374">
        <f t="shared" si="0"/>
        <v>100.25694444444446</v>
      </c>
      <c r="F9" s="144">
        <f t="shared" ref="F9:F17" si="2">G8-G9+F8</f>
        <v>2828</v>
      </c>
      <c r="G9" s="372">
        <v>820</v>
      </c>
      <c r="H9" s="376"/>
      <c r="I9" s="377" t="s">
        <v>72</v>
      </c>
      <c r="J9" s="372" t="s">
        <v>132</v>
      </c>
      <c r="K9" s="372" t="s">
        <v>64</v>
      </c>
      <c r="L9" s="734">
        <v>96.861000000000004</v>
      </c>
      <c r="M9" s="735"/>
      <c r="N9" s="816">
        <v>97.873000000000005</v>
      </c>
      <c r="O9" s="817"/>
      <c r="P9" s="810">
        <f t="shared" si="1"/>
        <v>1012.0000000000005</v>
      </c>
      <c r="Q9" s="811"/>
      <c r="R9" s="372"/>
      <c r="S9" s="372"/>
      <c r="T9" s="372"/>
      <c r="U9" s="213" t="s">
        <v>54</v>
      </c>
      <c r="V9" s="141" t="s">
        <v>54</v>
      </c>
      <c r="W9" s="141"/>
      <c r="X9" s="141" t="s">
        <v>54</v>
      </c>
      <c r="Y9" s="54"/>
    </row>
    <row r="10" spans="1:28" ht="46.5" customHeight="1" thickBot="1" x14ac:dyDescent="0.4">
      <c r="A10" s="372">
        <v>5</v>
      </c>
      <c r="B10" s="372">
        <v>6</v>
      </c>
      <c r="C10" s="372">
        <v>0.8</v>
      </c>
      <c r="D10" s="374">
        <f>(F10-F9)/C10/60</f>
        <v>0.41666666666666669</v>
      </c>
      <c r="E10" s="374">
        <f t="shared" si="0"/>
        <v>106.67361111111113</v>
      </c>
      <c r="F10" s="144">
        <f t="shared" si="2"/>
        <v>2848</v>
      </c>
      <c r="G10" s="372">
        <v>800</v>
      </c>
      <c r="H10" s="376"/>
      <c r="I10" s="377" t="s">
        <v>71</v>
      </c>
      <c r="J10" s="372" t="s">
        <v>131</v>
      </c>
      <c r="K10" s="372" t="s">
        <v>240</v>
      </c>
      <c r="L10" s="734">
        <v>70.165000000000006</v>
      </c>
      <c r="M10" s="735"/>
      <c r="N10" s="816">
        <v>71.533000000000001</v>
      </c>
      <c r="O10" s="817"/>
      <c r="P10" s="810">
        <f t="shared" si="1"/>
        <v>1367.999999999995</v>
      </c>
      <c r="Q10" s="811"/>
      <c r="R10" s="141" t="s">
        <v>54</v>
      </c>
      <c r="S10" s="141" t="s">
        <v>54</v>
      </c>
      <c r="T10" s="141"/>
      <c r="U10" s="339"/>
      <c r="V10" s="372"/>
      <c r="W10" s="372"/>
      <c r="X10" s="372"/>
      <c r="Y10" s="417" t="s">
        <v>252</v>
      </c>
    </row>
    <row r="11" spans="1:28" ht="46.5" customHeight="1" thickBot="1" x14ac:dyDescent="0.4">
      <c r="A11" s="372">
        <v>6</v>
      </c>
      <c r="B11" s="372">
        <v>6</v>
      </c>
      <c r="C11" s="372">
        <v>0.8</v>
      </c>
      <c r="D11" s="374">
        <f t="shared" ref="D11:D17" si="3">(F11-F10)/C11/60</f>
        <v>6.25</v>
      </c>
      <c r="E11" s="374">
        <f t="shared" si="0"/>
        <v>118.92361111111113</v>
      </c>
      <c r="F11" s="144">
        <f t="shared" si="2"/>
        <v>3148</v>
      </c>
      <c r="G11" s="372">
        <v>500</v>
      </c>
      <c r="H11" s="376"/>
      <c r="I11" s="377" t="s">
        <v>59</v>
      </c>
      <c r="J11" s="372" t="s">
        <v>128</v>
      </c>
      <c r="K11" s="372" t="s">
        <v>64</v>
      </c>
      <c r="L11" s="734">
        <v>32.999000000000002</v>
      </c>
      <c r="M11" s="735"/>
      <c r="N11" s="816">
        <v>33.948</v>
      </c>
      <c r="O11" s="817"/>
      <c r="P11" s="810">
        <f t="shared" si="1"/>
        <v>948.99999999999807</v>
      </c>
      <c r="Q11" s="811"/>
      <c r="R11" s="372"/>
      <c r="S11" s="372"/>
      <c r="T11" s="372"/>
      <c r="U11" s="141" t="s">
        <v>54</v>
      </c>
      <c r="V11" s="141" t="s">
        <v>54</v>
      </c>
      <c r="W11" s="141"/>
      <c r="X11" s="141" t="s">
        <v>54</v>
      </c>
      <c r="Y11" s="417" t="s">
        <v>253</v>
      </c>
    </row>
    <row r="12" spans="1:28" ht="46.5" customHeight="1" thickBot="1" x14ac:dyDescent="0.4">
      <c r="A12" s="372">
        <v>7</v>
      </c>
      <c r="B12" s="372">
        <v>6</v>
      </c>
      <c r="C12" s="372">
        <v>0.8</v>
      </c>
      <c r="D12" s="374">
        <f t="shared" si="3"/>
        <v>2.0833333333333335</v>
      </c>
      <c r="E12" s="374">
        <f t="shared" si="0"/>
        <v>127.00694444444446</v>
      </c>
      <c r="F12" s="144">
        <f t="shared" si="2"/>
        <v>3248</v>
      </c>
      <c r="G12" s="372">
        <v>400</v>
      </c>
      <c r="H12" s="376"/>
      <c r="I12" s="377" t="s">
        <v>57</v>
      </c>
      <c r="J12" s="372" t="s">
        <v>126</v>
      </c>
      <c r="K12" s="372" t="s">
        <v>240</v>
      </c>
      <c r="L12" s="734">
        <v>27.7</v>
      </c>
      <c r="M12" s="735"/>
      <c r="N12" s="816">
        <v>28.821999999999999</v>
      </c>
      <c r="O12" s="817"/>
      <c r="P12" s="810">
        <f t="shared" si="1"/>
        <v>1122</v>
      </c>
      <c r="Q12" s="811"/>
      <c r="R12" s="141" t="s">
        <v>54</v>
      </c>
      <c r="S12" s="141" t="s">
        <v>54</v>
      </c>
      <c r="T12" s="141"/>
      <c r="U12" s="372"/>
      <c r="V12" s="372"/>
      <c r="W12" s="372"/>
      <c r="X12" s="372"/>
      <c r="Y12" s="54"/>
    </row>
    <row r="13" spans="1:28" ht="46.5" customHeight="1" thickBot="1" x14ac:dyDescent="0.4">
      <c r="A13" s="372">
        <v>8</v>
      </c>
      <c r="B13" s="372">
        <v>6</v>
      </c>
      <c r="C13" s="372">
        <v>0.8</v>
      </c>
      <c r="D13" s="374">
        <f t="shared" si="3"/>
        <v>3.125</v>
      </c>
      <c r="E13" s="374">
        <f t="shared" si="0"/>
        <v>136.13194444444446</v>
      </c>
      <c r="F13" s="144">
        <f t="shared" si="2"/>
        <v>3398</v>
      </c>
      <c r="G13" s="372">
        <v>250</v>
      </c>
      <c r="H13" s="376"/>
      <c r="I13" s="377" t="s">
        <v>69</v>
      </c>
      <c r="J13" s="372" t="s">
        <v>135</v>
      </c>
      <c r="K13" s="372" t="s">
        <v>64</v>
      </c>
      <c r="L13" s="734">
        <v>5.8319000000000001</v>
      </c>
      <c r="M13" s="735"/>
      <c r="N13" s="816">
        <v>6.2657999999999996</v>
      </c>
      <c r="O13" s="817"/>
      <c r="P13" s="886">
        <f>(N13-L13)*1000</f>
        <v>433.89999999999952</v>
      </c>
      <c r="Q13" s="887"/>
      <c r="R13" s="141"/>
      <c r="S13" s="141"/>
      <c r="T13" s="141"/>
      <c r="U13" s="141" t="s">
        <v>54</v>
      </c>
      <c r="V13" s="141" t="s">
        <v>54</v>
      </c>
      <c r="W13" s="213" t="s">
        <v>54</v>
      </c>
      <c r="X13" s="141" t="s">
        <v>54</v>
      </c>
      <c r="Y13" s="143"/>
    </row>
    <row r="14" spans="1:28" ht="46.5" customHeight="1" thickBot="1" x14ac:dyDescent="0.4">
      <c r="A14" s="372">
        <v>9</v>
      </c>
      <c r="B14" s="372">
        <v>6</v>
      </c>
      <c r="C14" s="372">
        <v>0.8</v>
      </c>
      <c r="D14" s="374">
        <f t="shared" si="3"/>
        <v>1.0416666666666667</v>
      </c>
      <c r="E14" s="374">
        <f t="shared" si="0"/>
        <v>143.17361111111111</v>
      </c>
      <c r="F14" s="144">
        <f t="shared" si="2"/>
        <v>3448</v>
      </c>
      <c r="G14" s="372">
        <v>200</v>
      </c>
      <c r="H14" s="376"/>
      <c r="I14" s="377" t="s">
        <v>68</v>
      </c>
      <c r="J14" s="372" t="s">
        <v>134</v>
      </c>
      <c r="K14" s="372" t="s">
        <v>240</v>
      </c>
      <c r="L14" s="734">
        <v>78.603999999999999</v>
      </c>
      <c r="M14" s="735"/>
      <c r="N14" s="816">
        <v>79.397999999999996</v>
      </c>
      <c r="O14" s="817"/>
      <c r="P14" s="810">
        <f t="shared" si="1"/>
        <v>793.99999999999693</v>
      </c>
      <c r="Q14" s="811"/>
      <c r="R14" s="141" t="s">
        <v>54</v>
      </c>
      <c r="S14" s="141" t="s">
        <v>54</v>
      </c>
      <c r="T14" s="141" t="s">
        <v>54</v>
      </c>
      <c r="U14" s="372"/>
      <c r="V14" s="372"/>
      <c r="W14" s="372"/>
      <c r="X14" s="372"/>
      <c r="Y14" s="417" t="s">
        <v>252</v>
      </c>
    </row>
    <row r="15" spans="1:28" ht="46.5" customHeight="1" thickBot="1" x14ac:dyDescent="0.4">
      <c r="A15" s="372">
        <v>10</v>
      </c>
      <c r="B15" s="372">
        <v>6</v>
      </c>
      <c r="C15" s="372">
        <v>0.8</v>
      </c>
      <c r="D15" s="374">
        <f t="shared" si="3"/>
        <v>1.0416666666666667</v>
      </c>
      <c r="E15" s="374">
        <f t="shared" si="0"/>
        <v>150.21527777777777</v>
      </c>
      <c r="F15" s="144">
        <f t="shared" si="2"/>
        <v>3498</v>
      </c>
      <c r="G15" s="372">
        <v>150</v>
      </c>
      <c r="H15" s="376"/>
      <c r="I15" s="377" t="s">
        <v>61</v>
      </c>
      <c r="J15" s="372" t="s">
        <v>127</v>
      </c>
      <c r="K15" s="372" t="s">
        <v>240</v>
      </c>
      <c r="L15" s="734">
        <v>48.454999999999998</v>
      </c>
      <c r="M15" s="735"/>
      <c r="N15" s="816">
        <v>49.369</v>
      </c>
      <c r="O15" s="817"/>
      <c r="P15" s="810">
        <f t="shared" si="1"/>
        <v>914.00000000000148</v>
      </c>
      <c r="Q15" s="811"/>
      <c r="R15" s="141" t="s">
        <v>54</v>
      </c>
      <c r="S15" s="141" t="s">
        <v>54</v>
      </c>
      <c r="T15" s="141"/>
      <c r="U15" s="372"/>
      <c r="V15" s="372"/>
      <c r="W15" s="372"/>
      <c r="X15" s="372"/>
      <c r="Y15" s="54"/>
    </row>
    <row r="16" spans="1:28" ht="46.5" customHeight="1" thickBot="1" x14ac:dyDescent="0.4">
      <c r="A16" s="372">
        <v>11</v>
      </c>
      <c r="B16" s="372">
        <v>6</v>
      </c>
      <c r="C16" s="372">
        <v>0.8</v>
      </c>
      <c r="D16" s="374">
        <f t="shared" si="3"/>
        <v>1.0416666666666667</v>
      </c>
      <c r="E16" s="374">
        <f t="shared" si="0"/>
        <v>157.25694444444443</v>
      </c>
      <c r="F16" s="144">
        <f t="shared" si="2"/>
        <v>3548</v>
      </c>
      <c r="G16" s="372">
        <v>100</v>
      </c>
      <c r="H16" s="376"/>
      <c r="I16" s="377" t="s">
        <v>67</v>
      </c>
      <c r="J16" s="388" t="s">
        <v>133</v>
      </c>
      <c r="K16" s="372" t="s">
        <v>240</v>
      </c>
      <c r="L16" s="816">
        <v>76.504000000000005</v>
      </c>
      <c r="M16" s="817"/>
      <c r="N16" s="816">
        <v>76.885000000000005</v>
      </c>
      <c r="O16" s="817"/>
      <c r="P16" s="810">
        <f t="shared" si="1"/>
        <v>381.00000000000023</v>
      </c>
      <c r="Q16" s="811"/>
      <c r="R16" s="141" t="s">
        <v>54</v>
      </c>
      <c r="S16" s="141" t="s">
        <v>54</v>
      </c>
      <c r="T16" s="141"/>
      <c r="U16" s="372"/>
      <c r="V16" s="372"/>
      <c r="W16" s="372"/>
      <c r="X16" s="372"/>
      <c r="Y16" s="416" t="s">
        <v>251</v>
      </c>
    </row>
    <row r="17" spans="1:27" ht="46.5" customHeight="1" x14ac:dyDescent="0.35">
      <c r="A17" s="806">
        <v>12</v>
      </c>
      <c r="B17" s="806">
        <v>6</v>
      </c>
      <c r="C17" s="806">
        <v>0.8</v>
      </c>
      <c r="D17" s="807">
        <f t="shared" si="3"/>
        <v>0.83333333333333337</v>
      </c>
      <c r="E17" s="807">
        <f t="shared" si="0"/>
        <v>164.09027777777777</v>
      </c>
      <c r="F17" s="858">
        <f t="shared" si="2"/>
        <v>3588</v>
      </c>
      <c r="G17" s="806">
        <v>60</v>
      </c>
      <c r="H17" s="891" t="s">
        <v>241</v>
      </c>
      <c r="I17" s="837" t="s">
        <v>23</v>
      </c>
      <c r="J17" s="371" t="s">
        <v>150</v>
      </c>
      <c r="K17" s="371" t="s">
        <v>64</v>
      </c>
      <c r="L17" s="812">
        <v>4.0928000000000004</v>
      </c>
      <c r="M17" s="813"/>
      <c r="N17" s="812">
        <v>4.3101000000000003</v>
      </c>
      <c r="O17" s="813"/>
      <c r="P17" s="888">
        <f t="shared" si="1"/>
        <v>217.29999999999984</v>
      </c>
      <c r="Q17" s="889"/>
      <c r="R17" s="371"/>
      <c r="S17" s="371"/>
      <c r="T17" s="371"/>
      <c r="U17" s="142" t="s">
        <v>54</v>
      </c>
      <c r="V17" s="142" t="s">
        <v>54</v>
      </c>
      <c r="W17" s="142" t="s">
        <v>54</v>
      </c>
      <c r="X17" s="142" t="s">
        <v>54</v>
      </c>
      <c r="Y17" s="166"/>
    </row>
    <row r="18" spans="1:27" ht="46.5" customHeight="1" x14ac:dyDescent="0.35">
      <c r="A18" s="742"/>
      <c r="B18" s="742"/>
      <c r="C18" s="742"/>
      <c r="D18" s="789"/>
      <c r="E18" s="789"/>
      <c r="F18" s="791"/>
      <c r="G18" s="742"/>
      <c r="H18" s="892"/>
      <c r="I18" s="801"/>
      <c r="J18" s="379" t="s">
        <v>151</v>
      </c>
      <c r="K18" s="379" t="s">
        <v>240</v>
      </c>
      <c r="L18" s="814">
        <v>5.4097999999999997</v>
      </c>
      <c r="M18" s="815"/>
      <c r="N18" s="814">
        <v>5.6839000000000004</v>
      </c>
      <c r="O18" s="815"/>
      <c r="P18" s="740">
        <f t="shared" si="1"/>
        <v>274.1000000000007</v>
      </c>
      <c r="Q18" s="740"/>
      <c r="R18" s="167" t="s">
        <v>54</v>
      </c>
      <c r="S18" s="167" t="s">
        <v>54</v>
      </c>
      <c r="T18" s="167"/>
      <c r="U18" s="379"/>
      <c r="V18" s="379"/>
      <c r="W18" s="379"/>
      <c r="X18" s="379"/>
      <c r="Y18" s="381"/>
    </row>
    <row r="19" spans="1:27" ht="46.5" customHeight="1" thickBot="1" x14ac:dyDescent="0.4">
      <c r="A19" s="743"/>
      <c r="B19" s="743"/>
      <c r="C19" s="743"/>
      <c r="D19" s="790"/>
      <c r="E19" s="790"/>
      <c r="F19" s="792"/>
      <c r="G19" s="743"/>
      <c r="H19" s="893"/>
      <c r="I19" s="802"/>
      <c r="J19" s="380" t="s">
        <v>179</v>
      </c>
      <c r="K19" s="380"/>
      <c r="L19" s="810">
        <v>9.3401999999999994</v>
      </c>
      <c r="M19" s="811"/>
      <c r="N19" s="810">
        <v>9.8276000000000003</v>
      </c>
      <c r="O19" s="811"/>
      <c r="P19" s="734">
        <f t="shared" si="1"/>
        <v>487.40000000000094</v>
      </c>
      <c r="Q19" s="735"/>
      <c r="R19" s="168"/>
      <c r="S19" s="168"/>
      <c r="T19" s="168"/>
      <c r="U19" s="380"/>
      <c r="V19" s="380"/>
      <c r="W19" s="380"/>
      <c r="X19" s="380"/>
      <c r="Y19" s="382"/>
    </row>
    <row r="20" spans="1:27" ht="46.5" customHeight="1" x14ac:dyDescent="0.35">
      <c r="A20" s="806">
        <v>13</v>
      </c>
      <c r="B20" s="806">
        <v>6</v>
      </c>
      <c r="C20" s="806">
        <v>0.8</v>
      </c>
      <c r="D20" s="807">
        <f>(F20-F17)/C20/60</f>
        <v>0.625</v>
      </c>
      <c r="E20" s="807">
        <f>E17+B20+D20</f>
        <v>170.71527777777777</v>
      </c>
      <c r="F20" s="890">
        <f>G17-G20+F17</f>
        <v>3618</v>
      </c>
      <c r="G20" s="823">
        <v>30</v>
      </c>
      <c r="H20" s="824"/>
      <c r="I20" s="834" t="s">
        <v>27</v>
      </c>
      <c r="J20" s="373" t="s">
        <v>150</v>
      </c>
      <c r="K20" s="373" t="s">
        <v>64</v>
      </c>
      <c r="L20" s="812">
        <v>4.6901999999999999</v>
      </c>
      <c r="M20" s="813"/>
      <c r="N20" s="812">
        <v>4.8464</v>
      </c>
      <c r="O20" s="813"/>
      <c r="P20" s="888">
        <f t="shared" si="1"/>
        <v>156.2000000000001</v>
      </c>
      <c r="Q20" s="889"/>
      <c r="R20" s="373"/>
      <c r="S20" s="373"/>
      <c r="T20" s="373"/>
      <c r="U20" s="169" t="s">
        <v>54</v>
      </c>
      <c r="V20" s="169" t="s">
        <v>54</v>
      </c>
      <c r="W20" s="142" t="s">
        <v>54</v>
      </c>
      <c r="X20" s="169" t="s">
        <v>54</v>
      </c>
      <c r="Y20" s="170"/>
    </row>
    <row r="21" spans="1:27" ht="46.5" customHeight="1" x14ac:dyDescent="0.35">
      <c r="A21" s="742"/>
      <c r="B21" s="742"/>
      <c r="C21" s="742"/>
      <c r="D21" s="789"/>
      <c r="E21" s="789"/>
      <c r="F21" s="821"/>
      <c r="G21" s="740"/>
      <c r="H21" s="825"/>
      <c r="I21" s="835"/>
      <c r="J21" s="379" t="s">
        <v>151</v>
      </c>
      <c r="K21" s="379" t="s">
        <v>240</v>
      </c>
      <c r="L21" s="814">
        <v>6.0655999999999999</v>
      </c>
      <c r="M21" s="815"/>
      <c r="N21" s="814">
        <v>6.2923999999999998</v>
      </c>
      <c r="O21" s="815"/>
      <c r="P21" s="740">
        <f t="shared" si="1"/>
        <v>226.7999999999999</v>
      </c>
      <c r="Q21" s="740"/>
      <c r="R21" s="167" t="s">
        <v>54</v>
      </c>
      <c r="S21" s="167" t="s">
        <v>54</v>
      </c>
      <c r="T21" s="167" t="s">
        <v>54</v>
      </c>
      <c r="U21" s="379"/>
      <c r="V21" s="379"/>
      <c r="W21" s="379"/>
      <c r="X21" s="379"/>
      <c r="Y21" s="381"/>
    </row>
    <row r="22" spans="1:27" ht="46.5" customHeight="1" thickBot="1" x14ac:dyDescent="0.4">
      <c r="A22" s="743"/>
      <c r="B22" s="743"/>
      <c r="C22" s="743"/>
      <c r="D22" s="790"/>
      <c r="E22" s="790"/>
      <c r="F22" s="822"/>
      <c r="G22" s="741"/>
      <c r="H22" s="826"/>
      <c r="I22" s="836"/>
      <c r="J22" s="380" t="s">
        <v>179</v>
      </c>
      <c r="K22" s="380"/>
      <c r="L22" s="810">
        <v>10.502599999999999</v>
      </c>
      <c r="M22" s="811"/>
      <c r="N22" s="810">
        <v>10.8794</v>
      </c>
      <c r="O22" s="811"/>
      <c r="P22" s="734">
        <f t="shared" si="1"/>
        <v>376.80000000000115</v>
      </c>
      <c r="Q22" s="735"/>
      <c r="R22" s="168"/>
      <c r="S22" s="168"/>
      <c r="T22" s="168"/>
      <c r="U22" s="380"/>
      <c r="V22" s="380"/>
      <c r="W22" s="380"/>
      <c r="X22" s="380"/>
      <c r="Y22" s="382"/>
    </row>
    <row r="23" spans="1:27" ht="47.9" customHeight="1" thickBot="1" x14ac:dyDescent="0.6">
      <c r="A23" s="24" t="s">
        <v>10</v>
      </c>
      <c r="B23" s="378">
        <f>SUM(B6:B22)</f>
        <v>78</v>
      </c>
      <c r="C23" s="378"/>
      <c r="D23" s="387">
        <f>SUM(D6:D22)</f>
        <v>92.7152777777778</v>
      </c>
      <c r="E23" s="387"/>
      <c r="F23" s="144">
        <f>G6</f>
        <v>3655</v>
      </c>
      <c r="G23" s="827" t="s">
        <v>18</v>
      </c>
      <c r="H23" s="828"/>
      <c r="I23" s="828"/>
      <c r="J23" s="22"/>
      <c r="K23" s="97" t="s">
        <v>103</v>
      </c>
      <c r="L23" s="838" t="s">
        <v>102</v>
      </c>
      <c r="M23" s="838"/>
      <c r="N23" s="838" t="s">
        <v>53</v>
      </c>
      <c r="O23" s="838"/>
    </row>
    <row r="24" spans="1:27" ht="48.75" customHeight="1" x14ac:dyDescent="0.35">
      <c r="A24" s="26" t="s">
        <v>12</v>
      </c>
      <c r="B24" s="379">
        <f>B23/60</f>
        <v>1.3</v>
      </c>
      <c r="C24" s="379"/>
      <c r="D24" s="386">
        <f>D23/60</f>
        <v>1.5452546296296299</v>
      </c>
      <c r="E24" s="386"/>
      <c r="F24" s="27"/>
      <c r="J24" s="95" t="s">
        <v>145</v>
      </c>
      <c r="K24" s="30">
        <v>44230</v>
      </c>
      <c r="L24" s="829">
        <v>0.45833333333333331</v>
      </c>
      <c r="M24" s="830"/>
      <c r="N24" s="803">
        <v>0.20833333333333334</v>
      </c>
      <c r="O24" s="803"/>
      <c r="AA24">
        <v>1</v>
      </c>
    </row>
    <row r="25" spans="1:27" ht="55.4" customHeight="1" x14ac:dyDescent="0.35">
      <c r="J25" s="96" t="s">
        <v>45</v>
      </c>
      <c r="K25" s="30">
        <v>44230</v>
      </c>
      <c r="L25" s="762">
        <v>0.625</v>
      </c>
      <c r="M25" s="766"/>
      <c r="N25" s="765">
        <v>0.45833333333333331</v>
      </c>
      <c r="O25" s="765"/>
    </row>
    <row r="26" spans="1:27" ht="50.25" customHeight="1" x14ac:dyDescent="0.35">
      <c r="A26" s="1"/>
      <c r="B26" s="1"/>
      <c r="C26" s="1"/>
      <c r="D26" s="1"/>
      <c r="E26" s="1"/>
      <c r="F26" s="1"/>
      <c r="G26" s="1"/>
      <c r="J26" s="96" t="s">
        <v>46</v>
      </c>
      <c r="K26" s="30">
        <v>44230</v>
      </c>
      <c r="L26" s="762">
        <v>0.75</v>
      </c>
      <c r="M26" s="766"/>
      <c r="N26" s="765">
        <v>0.58333333333333337</v>
      </c>
      <c r="O26" s="765"/>
    </row>
    <row r="27" spans="1:27" ht="50.25" customHeight="1" x14ac:dyDescent="0.35">
      <c r="A27" s="805" t="s">
        <v>52</v>
      </c>
      <c r="B27" s="805"/>
      <c r="C27" s="805"/>
      <c r="D27" s="805"/>
      <c r="E27" s="805"/>
      <c r="F27" s="805"/>
      <c r="J27" s="96" t="s">
        <v>47</v>
      </c>
      <c r="K27" s="30">
        <v>44230</v>
      </c>
      <c r="L27" s="762">
        <v>0.82638888888888884</v>
      </c>
      <c r="M27" s="766"/>
      <c r="N27" s="765">
        <v>0.65972222222222221</v>
      </c>
      <c r="O27" s="765"/>
    </row>
    <row r="28" spans="1:27" ht="20" x14ac:dyDescent="0.4">
      <c r="A28" s="17" t="s">
        <v>51</v>
      </c>
      <c r="B28" s="17"/>
      <c r="C28" s="17"/>
      <c r="F28" s="22">
        <v>8</v>
      </c>
      <c r="G28" s="20" t="s">
        <v>11</v>
      </c>
      <c r="J28" s="17"/>
      <c r="K28" s="19"/>
    </row>
    <row r="29" spans="1:27" ht="60" customHeight="1" x14ac:dyDescent="0.4">
      <c r="F29" s="17"/>
      <c r="G29" s="17"/>
      <c r="J29" s="10" t="s">
        <v>50</v>
      </c>
      <c r="K29" s="31">
        <f>E20</f>
        <v>170.71527777777777</v>
      </c>
    </row>
    <row r="30" spans="1:27" ht="78" customHeight="1" x14ac:dyDescent="0.4">
      <c r="A30" s="390" t="s">
        <v>243</v>
      </c>
      <c r="B30" s="418" t="s">
        <v>254</v>
      </c>
      <c r="F30" s="17"/>
      <c r="G30" s="17"/>
      <c r="H30" s="17"/>
      <c r="I30" s="15"/>
      <c r="J30" s="10" t="s">
        <v>49</v>
      </c>
      <c r="K30" s="31">
        <f>D23+B20*A20</f>
        <v>170.7152777777778</v>
      </c>
    </row>
    <row r="31" spans="1:27" ht="57.75" customHeight="1" x14ac:dyDescent="0.4">
      <c r="A31" s="19"/>
      <c r="B31" s="20"/>
      <c r="C31" s="17"/>
      <c r="I31" s="9"/>
      <c r="J31" s="1"/>
      <c r="K31" s="1"/>
      <c r="L31" s="1"/>
      <c r="M31" s="2"/>
      <c r="N31" s="2"/>
    </row>
    <row r="32" spans="1:27" ht="20" x14ac:dyDescent="0.4">
      <c r="C32" s="17"/>
      <c r="D32" s="17"/>
      <c r="E32" s="17" t="s">
        <v>14</v>
      </c>
      <c r="F32" s="17"/>
      <c r="I32" s="15"/>
      <c r="J32" s="1"/>
      <c r="K32" s="1"/>
      <c r="L32" s="1"/>
      <c r="M32" s="2"/>
      <c r="N32" s="2"/>
    </row>
    <row r="33" spans="1:24" ht="20" x14ac:dyDescent="0.4">
      <c r="A33" s="19"/>
      <c r="B33" s="20"/>
      <c r="C33" s="17"/>
      <c r="D33" s="17"/>
      <c r="E33" s="23"/>
      <c r="F33" s="17"/>
      <c r="G33" s="17"/>
      <c r="H33" s="17"/>
      <c r="I33" s="15"/>
      <c r="J33" s="1"/>
      <c r="K33" s="1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20" x14ac:dyDescent="0.4">
      <c r="A34" s="19"/>
      <c r="B34" s="20"/>
      <c r="C34" s="17"/>
      <c r="D34" s="17"/>
      <c r="E34" s="17"/>
      <c r="F34" s="17"/>
      <c r="G34" s="17"/>
      <c r="H34" s="17"/>
      <c r="I34" s="15"/>
      <c r="J34" s="1"/>
      <c r="K34" s="1"/>
      <c r="L34" s="1"/>
      <c r="M34" s="2"/>
      <c r="N34" s="2"/>
    </row>
    <row r="35" spans="1:24" ht="18.5" x14ac:dyDescent="0.45">
      <c r="A35" s="16"/>
      <c r="B35" s="16"/>
      <c r="C35" s="16"/>
      <c r="D35" s="16"/>
      <c r="E35" s="16"/>
      <c r="F35" s="16"/>
      <c r="G35" s="16"/>
      <c r="H35" s="16"/>
      <c r="I35" s="16"/>
    </row>
  </sheetData>
  <mergeCells count="85">
    <mergeCell ref="L26:M26"/>
    <mergeCell ref="N26:O26"/>
    <mergeCell ref="A27:F27"/>
    <mergeCell ref="L27:M27"/>
    <mergeCell ref="N27:O27"/>
    <mergeCell ref="L25:M25"/>
    <mergeCell ref="N25:O25"/>
    <mergeCell ref="I20:I22"/>
    <mergeCell ref="L20:M20"/>
    <mergeCell ref="N20:O20"/>
    <mergeCell ref="G23:I23"/>
    <mergeCell ref="L23:M23"/>
    <mergeCell ref="N23:O23"/>
    <mergeCell ref="L24:M24"/>
    <mergeCell ref="N24:O24"/>
    <mergeCell ref="P20:Q20"/>
    <mergeCell ref="L21:M21"/>
    <mergeCell ref="N21:O21"/>
    <mergeCell ref="P21:Q21"/>
    <mergeCell ref="L22:M22"/>
    <mergeCell ref="N22:O22"/>
    <mergeCell ref="P22:Q22"/>
    <mergeCell ref="F20:F22"/>
    <mergeCell ref="G20:G22"/>
    <mergeCell ref="H20:H22"/>
    <mergeCell ref="G17:G19"/>
    <mergeCell ref="H17:H19"/>
    <mergeCell ref="A20:A22"/>
    <mergeCell ref="B20:B22"/>
    <mergeCell ref="C20:C22"/>
    <mergeCell ref="D20:D22"/>
    <mergeCell ref="E20:E22"/>
    <mergeCell ref="L18:M18"/>
    <mergeCell ref="N18:O18"/>
    <mergeCell ref="P18:Q18"/>
    <mergeCell ref="L19:M19"/>
    <mergeCell ref="A17:A19"/>
    <mergeCell ref="B17:B19"/>
    <mergeCell ref="C17:C19"/>
    <mergeCell ref="D17:D19"/>
    <mergeCell ref="E17:E19"/>
    <mergeCell ref="F17:F19"/>
    <mergeCell ref="N19:O19"/>
    <mergeCell ref="P19:Q19"/>
    <mergeCell ref="I17:I19"/>
    <mergeCell ref="L17:M17"/>
    <mergeCell ref="N17:O17"/>
    <mergeCell ref="P17:Q17"/>
    <mergeCell ref="L15:M15"/>
    <mergeCell ref="N15:O15"/>
    <mergeCell ref="P15:Q15"/>
    <mergeCell ref="L16:M16"/>
    <mergeCell ref="N16:O16"/>
    <mergeCell ref="P16:Q16"/>
    <mergeCell ref="L13:M13"/>
    <mergeCell ref="N13:O13"/>
    <mergeCell ref="P13:Q13"/>
    <mergeCell ref="L14:M14"/>
    <mergeCell ref="N14:O14"/>
    <mergeCell ref="P14:Q14"/>
    <mergeCell ref="L11:M11"/>
    <mergeCell ref="N11:O11"/>
    <mergeCell ref="P11:Q11"/>
    <mergeCell ref="L12:M12"/>
    <mergeCell ref="N12:O12"/>
    <mergeCell ref="P12:Q12"/>
    <mergeCell ref="L9:M9"/>
    <mergeCell ref="N9:O9"/>
    <mergeCell ref="P9:Q9"/>
    <mergeCell ref="L10:M10"/>
    <mergeCell ref="N10:O10"/>
    <mergeCell ref="P10:Q10"/>
    <mergeCell ref="L7:M7"/>
    <mergeCell ref="N7:O7"/>
    <mergeCell ref="P7:Q7"/>
    <mergeCell ref="L8:M8"/>
    <mergeCell ref="N8:O8"/>
    <mergeCell ref="P8:Q8"/>
    <mergeCell ref="M3:P3"/>
    <mergeCell ref="L5:M5"/>
    <mergeCell ref="N5:O5"/>
    <mergeCell ref="P5:Q5"/>
    <mergeCell ref="L6:M6"/>
    <mergeCell ref="N6:O6"/>
    <mergeCell ref="P6:Q6"/>
  </mergeCells>
  <pageMargins left="0.7" right="0.7" top="0.75" bottom="0.75" header="0.3" footer="0.3"/>
  <pageSetup paperSize="9" scale="3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zoomScale="40" zoomScaleNormal="40" workbookViewId="0">
      <selection activeCell="T5" sqref="T5"/>
    </sheetView>
  </sheetViews>
  <sheetFormatPr defaultColWidth="11.453125" defaultRowHeight="14.5" x14ac:dyDescent="0.35"/>
  <cols>
    <col min="1" max="1" width="12.08984375" customWidth="1"/>
    <col min="2" max="2" width="13" customWidth="1"/>
    <col min="3" max="3" width="15.453125" customWidth="1"/>
    <col min="4" max="5" width="14.453125" customWidth="1"/>
    <col min="6" max="6" width="19.90625" customWidth="1"/>
    <col min="7" max="7" width="13.453125" customWidth="1"/>
    <col min="8" max="8" width="13.90625" customWidth="1"/>
    <col min="9" max="9" width="23.08984375" bestFit="1" customWidth="1"/>
    <col min="10" max="10" width="21.08984375" customWidth="1"/>
    <col min="11" max="11" width="19.453125" bestFit="1" customWidth="1"/>
    <col min="12" max="12" width="11.453125" customWidth="1"/>
    <col min="13" max="13" width="10" customWidth="1"/>
    <col min="14" max="14" width="25.453125" customWidth="1"/>
    <col min="15" max="15" width="22.453125" customWidth="1"/>
    <col min="16" max="16" width="9.08984375" customWidth="1"/>
    <col min="17" max="17" width="66.453125" customWidth="1"/>
    <col min="18" max="18" width="10.453125" customWidth="1"/>
    <col min="19" max="19" width="10.453125" bestFit="1" customWidth="1"/>
    <col min="20" max="20" width="34.453125" customWidth="1"/>
  </cols>
  <sheetData>
    <row r="1" spans="1:20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</row>
    <row r="2" spans="1:20" ht="41.25" customHeight="1" x14ac:dyDescent="0.65">
      <c r="A2" s="84" t="s">
        <v>36</v>
      </c>
      <c r="B2" s="83"/>
      <c r="C2" s="98" t="s">
        <v>245</v>
      </c>
      <c r="D2" s="83"/>
      <c r="H2" s="91" t="s">
        <v>96</v>
      </c>
      <c r="I2" s="88" t="s">
        <v>255</v>
      </c>
      <c r="J2" s="89" t="s">
        <v>99</v>
      </c>
      <c r="K2" s="1"/>
      <c r="L2" s="1"/>
      <c r="M2" s="2"/>
      <c r="N2" s="2"/>
      <c r="O2" s="2"/>
    </row>
    <row r="3" spans="1:20" ht="30" x14ac:dyDescent="0.6">
      <c r="A3" s="119" t="s">
        <v>136</v>
      </c>
      <c r="B3" s="120"/>
      <c r="C3" s="121">
        <v>3714</v>
      </c>
      <c r="D3" s="122" t="s">
        <v>11</v>
      </c>
      <c r="E3" s="1"/>
      <c r="F3" s="121"/>
      <c r="G3" s="1"/>
      <c r="H3" s="92" t="s">
        <v>97</v>
      </c>
      <c r="I3" s="88" t="s">
        <v>256</v>
      </c>
      <c r="J3" s="89" t="s">
        <v>100</v>
      </c>
      <c r="K3" s="1"/>
      <c r="L3" s="1"/>
      <c r="M3" s="778" t="s">
        <v>146</v>
      </c>
      <c r="N3" s="779"/>
      <c r="O3" s="780"/>
    </row>
    <row r="4" spans="1:20" ht="20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Q4" s="13" t="s">
        <v>48</v>
      </c>
    </row>
    <row r="5" spans="1:20" ht="62.5" x14ac:dyDescent="0.55000000000000004">
      <c r="A5" s="10" t="s">
        <v>98</v>
      </c>
      <c r="B5" s="10" t="s">
        <v>0</v>
      </c>
      <c r="C5" s="10" t="s">
        <v>17</v>
      </c>
      <c r="D5" s="10" t="s">
        <v>1</v>
      </c>
      <c r="E5" s="11" t="s">
        <v>2</v>
      </c>
      <c r="F5" s="12" t="s">
        <v>3</v>
      </c>
      <c r="G5" s="13" t="s">
        <v>4</v>
      </c>
      <c r="H5" s="13" t="s">
        <v>5</v>
      </c>
      <c r="I5" s="93" t="s">
        <v>16</v>
      </c>
      <c r="J5" s="399" t="s">
        <v>15</v>
      </c>
      <c r="K5" s="399" t="s">
        <v>66</v>
      </c>
      <c r="L5" s="842" t="s">
        <v>143</v>
      </c>
      <c r="M5" s="843"/>
      <c r="N5" s="93" t="s">
        <v>144</v>
      </c>
      <c r="O5" s="10" t="s">
        <v>8</v>
      </c>
      <c r="P5" s="10" t="s">
        <v>137</v>
      </c>
      <c r="Q5" s="53"/>
      <c r="T5" s="251">
        <f>SUM(O6:O16)</f>
        <v>8600.9999999999891</v>
      </c>
    </row>
    <row r="6" spans="1:20" ht="69" customHeight="1" thickBot="1" x14ac:dyDescent="0.4">
      <c r="A6" s="392">
        <v>1</v>
      </c>
      <c r="B6" s="392">
        <v>5</v>
      </c>
      <c r="C6" s="392">
        <v>0.6</v>
      </c>
      <c r="D6" s="393">
        <f>ABS(F6/C6/60)</f>
        <v>0.22222222222222224</v>
      </c>
      <c r="E6" s="393">
        <f>D6+B6</f>
        <v>5.2222222222222223</v>
      </c>
      <c r="F6" s="394">
        <v>-8</v>
      </c>
      <c r="G6" s="401">
        <v>3678</v>
      </c>
      <c r="H6" s="395"/>
      <c r="I6" s="396" t="s">
        <v>57</v>
      </c>
      <c r="J6" s="396" t="s">
        <v>126</v>
      </c>
      <c r="K6" s="392" t="s">
        <v>64</v>
      </c>
      <c r="L6" s="734">
        <v>28.821000000000002</v>
      </c>
      <c r="M6" s="735"/>
      <c r="N6" s="392">
        <v>29.509</v>
      </c>
      <c r="O6" s="392">
        <f>(N6-L6)*1000</f>
        <v>687.99999999999886</v>
      </c>
      <c r="P6" s="392" t="s">
        <v>140</v>
      </c>
      <c r="Q6" s="54"/>
    </row>
    <row r="7" spans="1:20" ht="66" customHeight="1" thickBot="1" x14ac:dyDescent="0.4">
      <c r="A7" s="392">
        <v>2</v>
      </c>
      <c r="B7" s="392">
        <v>5</v>
      </c>
      <c r="C7" s="392">
        <v>0.6</v>
      </c>
      <c r="D7" s="393">
        <f t="shared" ref="D7:D15" si="0">(F7-F6)/C7/60</f>
        <v>4.9444444444444446</v>
      </c>
      <c r="E7" s="393">
        <f>E6+B7+D7</f>
        <v>15.166666666666666</v>
      </c>
      <c r="F7" s="144">
        <f>G$6-G7-$F$22</f>
        <v>170</v>
      </c>
      <c r="G7" s="392">
        <v>3500</v>
      </c>
      <c r="H7" s="395"/>
      <c r="I7" s="396" t="s">
        <v>61</v>
      </c>
      <c r="J7" s="396" t="s">
        <v>127</v>
      </c>
      <c r="K7" s="392" t="s">
        <v>64</v>
      </c>
      <c r="L7" s="734">
        <v>49.369</v>
      </c>
      <c r="M7" s="735"/>
      <c r="N7" s="392">
        <v>50.231000000000002</v>
      </c>
      <c r="O7" s="403">
        <f t="shared" ref="O7:O16" si="1">(N7-L7)*1000</f>
        <v>862.00000000000182</v>
      </c>
      <c r="P7" s="392" t="s">
        <v>140</v>
      </c>
      <c r="Q7" s="54"/>
    </row>
    <row r="8" spans="1:20" ht="76.5" customHeight="1" thickBot="1" x14ac:dyDescent="0.4">
      <c r="A8" s="392">
        <v>3</v>
      </c>
      <c r="B8" s="392">
        <v>5</v>
      </c>
      <c r="C8" s="392">
        <v>0.6</v>
      </c>
      <c r="D8" s="393">
        <f t="shared" si="0"/>
        <v>6.9444444444444446</v>
      </c>
      <c r="E8" s="393">
        <f t="shared" ref="E8:E12" si="2">E7+B8+D8</f>
        <v>27.111111111111107</v>
      </c>
      <c r="F8" s="144">
        <f>G$7-G8+F7</f>
        <v>420</v>
      </c>
      <c r="G8" s="392">
        <v>3250</v>
      </c>
      <c r="H8" s="395"/>
      <c r="I8" s="400" t="s">
        <v>246</v>
      </c>
      <c r="J8" s="392" t="s">
        <v>128</v>
      </c>
      <c r="K8" s="392" t="s">
        <v>64</v>
      </c>
      <c r="L8" s="734">
        <v>33.948999999999998</v>
      </c>
      <c r="M8" s="735"/>
      <c r="N8" s="392">
        <v>34.871000000000002</v>
      </c>
      <c r="O8" s="403">
        <f t="shared" si="1"/>
        <v>922.00000000000409</v>
      </c>
      <c r="P8" s="392" t="s">
        <v>140</v>
      </c>
      <c r="Q8" s="54"/>
    </row>
    <row r="9" spans="1:20" ht="73.5" customHeight="1" thickBot="1" x14ac:dyDescent="0.4">
      <c r="A9" s="415">
        <v>4</v>
      </c>
      <c r="B9" s="415">
        <v>5</v>
      </c>
      <c r="C9" s="415">
        <v>0.6</v>
      </c>
      <c r="D9" s="210">
        <f t="shared" si="0"/>
        <v>6.9444444444444446</v>
      </c>
      <c r="E9" s="210">
        <f t="shared" si="2"/>
        <v>39.05555555555555</v>
      </c>
      <c r="F9" s="229">
        <f t="shared" ref="F9:F16" si="3">G8-G9+F8</f>
        <v>670</v>
      </c>
      <c r="G9" s="415">
        <v>3000</v>
      </c>
      <c r="H9" s="212"/>
      <c r="I9" s="164" t="s">
        <v>60</v>
      </c>
      <c r="J9" s="415" t="s">
        <v>129</v>
      </c>
      <c r="K9" s="415" t="s">
        <v>64</v>
      </c>
      <c r="L9" s="816">
        <v>51.704999999999998</v>
      </c>
      <c r="M9" s="817"/>
      <c r="N9" s="415">
        <v>52.521999999999998</v>
      </c>
      <c r="O9" s="415">
        <f t="shared" si="1"/>
        <v>817.00000000000023</v>
      </c>
      <c r="P9" s="415" t="s">
        <v>140</v>
      </c>
      <c r="Q9" s="422"/>
    </row>
    <row r="10" spans="1:20" ht="64.5" customHeight="1" thickBot="1" x14ac:dyDescent="0.4">
      <c r="A10" s="404">
        <v>5</v>
      </c>
      <c r="B10" s="404">
        <v>5</v>
      </c>
      <c r="C10" s="404">
        <v>0.6</v>
      </c>
      <c r="D10" s="405">
        <f t="shared" si="0"/>
        <v>20.833333333333332</v>
      </c>
      <c r="E10" s="405">
        <f t="shared" si="2"/>
        <v>64.888888888888886</v>
      </c>
      <c r="F10" s="144">
        <f t="shared" si="3"/>
        <v>1420</v>
      </c>
      <c r="G10" s="404">
        <v>2250</v>
      </c>
      <c r="H10" s="406"/>
      <c r="I10" s="407" t="s">
        <v>122</v>
      </c>
      <c r="J10" s="404" t="s">
        <v>130</v>
      </c>
      <c r="K10" s="404" t="s">
        <v>64</v>
      </c>
      <c r="L10" s="734">
        <v>10.776</v>
      </c>
      <c r="M10" s="735"/>
      <c r="N10" s="404">
        <v>11.609</v>
      </c>
      <c r="O10" s="404">
        <f t="shared" si="1"/>
        <v>833.00000000000023</v>
      </c>
      <c r="P10" s="404" t="s">
        <v>140</v>
      </c>
      <c r="Q10" s="54"/>
    </row>
    <row r="11" spans="1:20" ht="64.5" customHeight="1" thickBot="1" x14ac:dyDescent="0.4">
      <c r="A11" s="404">
        <v>6</v>
      </c>
      <c r="B11" s="404">
        <v>5</v>
      </c>
      <c r="C11" s="404">
        <v>0.6</v>
      </c>
      <c r="D11" s="405">
        <f t="shared" si="0"/>
        <v>12.5</v>
      </c>
      <c r="E11" s="405">
        <f t="shared" si="2"/>
        <v>82.388888888888886</v>
      </c>
      <c r="F11" s="144">
        <f t="shared" si="3"/>
        <v>1870</v>
      </c>
      <c r="G11" s="404">
        <v>1800</v>
      </c>
      <c r="H11" s="406"/>
      <c r="I11" s="407" t="s">
        <v>118</v>
      </c>
      <c r="J11" s="404" t="s">
        <v>131</v>
      </c>
      <c r="K11" s="404" t="s">
        <v>64</v>
      </c>
      <c r="L11" s="734">
        <v>71.534000000000006</v>
      </c>
      <c r="M11" s="735"/>
      <c r="N11" s="404">
        <v>72.52</v>
      </c>
      <c r="O11" s="404">
        <f t="shared" si="1"/>
        <v>985.99999999999</v>
      </c>
      <c r="P11" s="404" t="s">
        <v>140</v>
      </c>
      <c r="Q11" s="54"/>
    </row>
    <row r="12" spans="1:20" ht="67.5" customHeight="1" thickBot="1" x14ac:dyDescent="0.4">
      <c r="A12" s="410">
        <v>7</v>
      </c>
      <c r="B12" s="410">
        <v>5</v>
      </c>
      <c r="C12" s="410">
        <v>0.6</v>
      </c>
      <c r="D12" s="414">
        <f t="shared" si="0"/>
        <v>16.666666666666668</v>
      </c>
      <c r="E12" s="414">
        <f t="shared" si="2"/>
        <v>104.05555555555556</v>
      </c>
      <c r="F12" s="165">
        <f t="shared" si="3"/>
        <v>2470</v>
      </c>
      <c r="G12" s="410">
        <v>1200</v>
      </c>
      <c r="H12" s="412"/>
      <c r="I12" s="301" t="s">
        <v>194</v>
      </c>
      <c r="J12" s="410" t="s">
        <v>132</v>
      </c>
      <c r="K12" s="410" t="s">
        <v>64</v>
      </c>
      <c r="L12" s="810">
        <v>97.875</v>
      </c>
      <c r="M12" s="811"/>
      <c r="N12" s="410">
        <v>98.893000000000001</v>
      </c>
      <c r="O12" s="410">
        <f t="shared" si="1"/>
        <v>1018.0000000000007</v>
      </c>
      <c r="P12" s="410" t="s">
        <v>140</v>
      </c>
      <c r="Q12" s="411" t="s">
        <v>250</v>
      </c>
    </row>
    <row r="13" spans="1:20" ht="67.5" customHeight="1" thickBot="1" x14ac:dyDescent="0.4">
      <c r="A13" s="410">
        <v>8</v>
      </c>
      <c r="B13" s="410">
        <v>5</v>
      </c>
      <c r="C13" s="410">
        <v>0.6</v>
      </c>
      <c r="D13" s="414">
        <f t="shared" si="0"/>
        <v>11.111111111111112</v>
      </c>
      <c r="E13" s="414">
        <f>E12+B13+D13</f>
        <v>120.16666666666667</v>
      </c>
      <c r="F13" s="165">
        <f t="shared" si="3"/>
        <v>2870</v>
      </c>
      <c r="G13" s="410">
        <v>800</v>
      </c>
      <c r="H13" s="412"/>
      <c r="I13" s="408" t="s">
        <v>21</v>
      </c>
      <c r="J13" s="410" t="s">
        <v>149</v>
      </c>
      <c r="K13" s="410" t="s">
        <v>64</v>
      </c>
      <c r="L13" s="810">
        <v>15.327</v>
      </c>
      <c r="M13" s="811"/>
      <c r="N13" s="410">
        <v>16.286999999999999</v>
      </c>
      <c r="O13" s="410">
        <f t="shared" si="1"/>
        <v>959.99999999999909</v>
      </c>
      <c r="P13" s="410"/>
      <c r="Q13" s="411" t="s">
        <v>249</v>
      </c>
    </row>
    <row r="14" spans="1:20" ht="69" customHeight="1" thickBot="1" x14ac:dyDescent="0.4">
      <c r="A14" s="410">
        <v>9</v>
      </c>
      <c r="B14" s="410">
        <v>5</v>
      </c>
      <c r="C14" s="410">
        <v>0.6</v>
      </c>
      <c r="D14" s="414">
        <f t="shared" si="0"/>
        <v>8.3333333333333339</v>
      </c>
      <c r="E14" s="414">
        <f>E13+B14+D14</f>
        <v>133.5</v>
      </c>
      <c r="F14" s="165">
        <f t="shared" si="3"/>
        <v>3170</v>
      </c>
      <c r="G14" s="410">
        <v>500</v>
      </c>
      <c r="H14" s="412"/>
      <c r="I14" s="408" t="s">
        <v>119</v>
      </c>
      <c r="J14" s="410" t="s">
        <v>134</v>
      </c>
      <c r="K14" s="410" t="s">
        <v>64</v>
      </c>
      <c r="L14" s="810">
        <v>79.397999999999996</v>
      </c>
      <c r="M14" s="811"/>
      <c r="N14" s="410">
        <v>80.131</v>
      </c>
      <c r="O14" s="410">
        <f t="shared" si="1"/>
        <v>733.00000000000409</v>
      </c>
      <c r="P14" s="410" t="s">
        <v>140</v>
      </c>
      <c r="Q14" s="411"/>
    </row>
    <row r="15" spans="1:20" ht="67.5" customHeight="1" thickBot="1" x14ac:dyDescent="0.4">
      <c r="A15" s="410">
        <v>10</v>
      </c>
      <c r="B15" s="410">
        <v>5</v>
      </c>
      <c r="C15" s="410">
        <v>0.6</v>
      </c>
      <c r="D15" s="414">
        <f t="shared" si="0"/>
        <v>7.7777777777777777</v>
      </c>
      <c r="E15" s="414">
        <f>E14+B15+D15</f>
        <v>146.27777777777777</v>
      </c>
      <c r="F15" s="165">
        <f t="shared" si="3"/>
        <v>3450</v>
      </c>
      <c r="G15" s="410">
        <v>220</v>
      </c>
      <c r="H15" s="412"/>
      <c r="I15" s="408" t="s">
        <v>121</v>
      </c>
      <c r="J15" s="410" t="s">
        <v>135</v>
      </c>
      <c r="K15" s="410" t="s">
        <v>64</v>
      </c>
      <c r="L15" s="741">
        <v>6.266</v>
      </c>
      <c r="M15" s="741"/>
      <c r="N15" s="410">
        <v>6.806</v>
      </c>
      <c r="O15" s="410">
        <f t="shared" si="1"/>
        <v>540</v>
      </c>
      <c r="P15" s="410" t="s">
        <v>140</v>
      </c>
      <c r="Q15" s="411"/>
    </row>
    <row r="16" spans="1:20" ht="67.5" customHeight="1" thickBot="1" x14ac:dyDescent="0.4">
      <c r="A16" s="410">
        <v>11</v>
      </c>
      <c r="B16" s="410">
        <v>5</v>
      </c>
      <c r="C16" s="410">
        <v>0.6</v>
      </c>
      <c r="D16" s="414">
        <f>(F16-F15)/C16/60</f>
        <v>5.2777777777777777</v>
      </c>
      <c r="E16" s="414">
        <f>E15+B16+D16</f>
        <v>156.55555555555554</v>
      </c>
      <c r="F16" s="165">
        <f t="shared" si="3"/>
        <v>3640</v>
      </c>
      <c r="G16" s="410">
        <v>30</v>
      </c>
      <c r="H16" s="412"/>
      <c r="I16" s="408" t="s">
        <v>120</v>
      </c>
      <c r="J16" s="410" t="s">
        <v>133</v>
      </c>
      <c r="K16" s="410" t="s">
        <v>64</v>
      </c>
      <c r="L16" s="741">
        <v>76.885000000000005</v>
      </c>
      <c r="M16" s="741"/>
      <c r="N16" s="410">
        <v>77.126999999999995</v>
      </c>
      <c r="O16" s="410">
        <f t="shared" si="1"/>
        <v>241.99999999999022</v>
      </c>
      <c r="P16" s="410" t="s">
        <v>140</v>
      </c>
      <c r="Q16" s="421" t="s">
        <v>247</v>
      </c>
    </row>
    <row r="17" spans="1:19" ht="47.9" customHeight="1" thickBot="1" x14ac:dyDescent="0.6">
      <c r="A17" s="38" t="s">
        <v>10</v>
      </c>
      <c r="B17" s="410">
        <f>SUM(B6:B16)</f>
        <v>55</v>
      </c>
      <c r="C17" s="410"/>
      <c r="D17" s="414">
        <f>SUM(D6:D16)</f>
        <v>101.55555555555554</v>
      </c>
      <c r="E17" s="414"/>
      <c r="F17" s="165">
        <f>G15+F15</f>
        <v>3670</v>
      </c>
      <c r="G17" s="827" t="s">
        <v>18</v>
      </c>
      <c r="H17" s="828"/>
      <c r="I17" s="828"/>
      <c r="J17" s="22"/>
      <c r="K17" s="97" t="s">
        <v>103</v>
      </c>
      <c r="L17" s="136" t="s">
        <v>102</v>
      </c>
      <c r="M17" s="136"/>
      <c r="N17" s="397" t="s">
        <v>53</v>
      </c>
    </row>
    <row r="18" spans="1:19" ht="48.75" customHeight="1" x14ac:dyDescent="0.35">
      <c r="A18" s="24" t="s">
        <v>12</v>
      </c>
      <c r="B18" s="409">
        <f>B17/60</f>
        <v>0.91666666666666663</v>
      </c>
      <c r="C18" s="409"/>
      <c r="D18" s="413" t="s">
        <v>14</v>
      </c>
      <c r="E18" s="413"/>
      <c r="F18" s="420"/>
      <c r="J18" s="95" t="s">
        <v>145</v>
      </c>
      <c r="K18" s="30">
        <v>44231</v>
      </c>
      <c r="L18" s="829">
        <v>0.17708333333333334</v>
      </c>
      <c r="M18" s="841"/>
      <c r="N18" s="391">
        <v>1.0416666666666666E-2</v>
      </c>
      <c r="S18">
        <v>1</v>
      </c>
    </row>
    <row r="19" spans="1:19" ht="55.4" customHeight="1" x14ac:dyDescent="0.35">
      <c r="J19" s="96" t="s">
        <v>45</v>
      </c>
      <c r="K19" s="30">
        <v>44231</v>
      </c>
      <c r="L19" s="762">
        <v>0.30208333333333331</v>
      </c>
      <c r="M19" s="763"/>
      <c r="N19" s="398">
        <v>0.13541666666666666</v>
      </c>
    </row>
    <row r="20" spans="1:19" ht="50.25" customHeight="1" x14ac:dyDescent="0.35">
      <c r="A20" s="1"/>
      <c r="B20" s="1"/>
      <c r="C20" s="1"/>
      <c r="D20" s="1"/>
      <c r="E20" s="1"/>
      <c r="F20" s="1"/>
      <c r="G20" s="1"/>
      <c r="J20" s="96" t="s">
        <v>46</v>
      </c>
      <c r="K20" s="30">
        <v>44231</v>
      </c>
      <c r="L20" s="762">
        <v>0.42708333333333331</v>
      </c>
      <c r="M20" s="766"/>
      <c r="N20" s="398">
        <v>0.26041666666666669</v>
      </c>
    </row>
    <row r="21" spans="1:19" ht="50.25" customHeight="1" x14ac:dyDescent="0.35">
      <c r="A21" s="805" t="s">
        <v>52</v>
      </c>
      <c r="B21" s="805"/>
      <c r="C21" s="805"/>
      <c r="D21" s="805"/>
      <c r="E21" s="805"/>
      <c r="F21" s="805"/>
      <c r="J21" s="96" t="s">
        <v>47</v>
      </c>
      <c r="K21" s="30">
        <v>44231</v>
      </c>
      <c r="L21" s="762"/>
      <c r="M21" s="766"/>
      <c r="N21" s="398"/>
    </row>
    <row r="22" spans="1:19" ht="20" x14ac:dyDescent="0.4">
      <c r="A22" s="17" t="s">
        <v>51</v>
      </c>
      <c r="B22" s="17"/>
      <c r="C22" s="17"/>
      <c r="F22" s="22">
        <v>8</v>
      </c>
      <c r="G22" s="20" t="s">
        <v>11</v>
      </c>
      <c r="J22" s="17"/>
      <c r="K22" s="19"/>
    </row>
    <row r="23" spans="1:19" ht="60" customHeight="1" x14ac:dyDescent="0.7">
      <c r="A23" s="146" t="s">
        <v>248</v>
      </c>
      <c r="F23" s="17"/>
      <c r="G23" s="17"/>
      <c r="J23" s="10" t="s">
        <v>50</v>
      </c>
      <c r="K23" s="31">
        <f>E16</f>
        <v>156.55555555555554</v>
      </c>
    </row>
    <row r="24" spans="1:19" ht="78" customHeight="1" x14ac:dyDescent="0.4">
      <c r="F24" s="17"/>
      <c r="G24" s="17"/>
      <c r="H24" s="17"/>
      <c r="I24" s="15"/>
      <c r="J24" s="10" t="s">
        <v>49</v>
      </c>
      <c r="K24" s="31">
        <f>D17+5*A16</f>
        <v>156.55555555555554</v>
      </c>
    </row>
    <row r="25" spans="1:19" ht="57.75" customHeight="1" x14ac:dyDescent="0.4">
      <c r="A25" s="19"/>
      <c r="B25" s="20"/>
      <c r="C25" s="17"/>
      <c r="I25" s="9"/>
      <c r="J25" s="1"/>
      <c r="K25" s="1"/>
      <c r="L25" s="1"/>
      <c r="M25" s="2"/>
    </row>
    <row r="26" spans="1:19" ht="20" x14ac:dyDescent="0.4">
      <c r="C26" s="17"/>
      <c r="D26" s="17"/>
      <c r="E26" s="17" t="s">
        <v>14</v>
      </c>
      <c r="F26" s="17"/>
      <c r="I26" s="15"/>
      <c r="J26" s="1"/>
      <c r="K26" s="1"/>
      <c r="L26" s="1"/>
      <c r="M26" s="2"/>
    </row>
    <row r="27" spans="1:19" ht="20" x14ac:dyDescent="0.4">
      <c r="A27" s="19"/>
      <c r="B27" s="20"/>
      <c r="C27" s="17"/>
      <c r="D27" s="17"/>
      <c r="E27" s="23"/>
      <c r="F27" s="17"/>
      <c r="G27" s="17"/>
      <c r="H27" s="17"/>
      <c r="I27" s="15"/>
      <c r="J27" s="1"/>
      <c r="K27" s="1"/>
      <c r="L27" s="1"/>
      <c r="M27" s="2"/>
      <c r="N27" s="2"/>
      <c r="O27" s="2"/>
    </row>
    <row r="28" spans="1:19" ht="20" x14ac:dyDescent="0.4">
      <c r="A28" s="19"/>
      <c r="B28" s="20"/>
      <c r="C28" s="17"/>
      <c r="D28" s="17"/>
      <c r="E28" s="17"/>
      <c r="F28" s="17"/>
      <c r="G28" s="17"/>
      <c r="H28" s="17"/>
      <c r="I28" s="15"/>
      <c r="J28" s="1"/>
      <c r="K28" s="1"/>
      <c r="L28" s="1"/>
      <c r="M28" s="2"/>
    </row>
    <row r="29" spans="1:19" ht="18.5" x14ac:dyDescent="0.45">
      <c r="A29" s="16"/>
      <c r="B29" s="16"/>
      <c r="C29" s="16"/>
      <c r="D29" s="16"/>
      <c r="E29" s="16"/>
      <c r="F29" s="16"/>
      <c r="G29" s="16"/>
      <c r="H29" s="16"/>
      <c r="I29" s="16"/>
    </row>
  </sheetData>
  <mergeCells count="19">
    <mergeCell ref="A21:F21"/>
    <mergeCell ref="L21:M21"/>
    <mergeCell ref="L10:M10"/>
    <mergeCell ref="L11:M11"/>
    <mergeCell ref="L12:M12"/>
    <mergeCell ref="L13:M13"/>
    <mergeCell ref="L14:M14"/>
    <mergeCell ref="L15:M15"/>
    <mergeCell ref="L16:M16"/>
    <mergeCell ref="G17:I17"/>
    <mergeCell ref="L18:M18"/>
    <mergeCell ref="L19:M19"/>
    <mergeCell ref="L20:M20"/>
    <mergeCell ref="L9:M9"/>
    <mergeCell ref="M3:O3"/>
    <mergeCell ref="L5:M5"/>
    <mergeCell ref="L6:M6"/>
    <mergeCell ref="L7:M7"/>
    <mergeCell ref="L8:M8"/>
  </mergeCells>
  <pageMargins left="0.7" right="0.7" top="0.75" bottom="0.75" header="0.3" footer="0.3"/>
  <pageSetup paperSize="9" scale="3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zoomScale="40" zoomScaleNormal="40" workbookViewId="0">
      <selection activeCell="AB5" sqref="AB5"/>
    </sheetView>
  </sheetViews>
  <sheetFormatPr defaultColWidth="11.453125" defaultRowHeight="14.5" x14ac:dyDescent="0.35"/>
  <cols>
    <col min="1" max="1" width="12.08984375" customWidth="1"/>
    <col min="2" max="2" width="13" customWidth="1"/>
    <col min="3" max="3" width="15.453125" customWidth="1"/>
    <col min="4" max="5" width="14.453125" customWidth="1"/>
    <col min="6" max="6" width="19.90625" customWidth="1"/>
    <col min="7" max="7" width="13.453125" customWidth="1"/>
    <col min="8" max="8" width="13.90625" customWidth="1"/>
    <col min="9" max="9" width="30.453125" customWidth="1"/>
    <col min="10" max="10" width="21.08984375" customWidth="1"/>
    <col min="11" max="11" width="20.90625" customWidth="1"/>
    <col min="12" max="12" width="11.453125" customWidth="1"/>
    <col min="13" max="14" width="10" customWidth="1"/>
    <col min="15" max="15" width="16.08984375" customWidth="1"/>
    <col min="16" max="16" width="15.90625" customWidth="1"/>
    <col min="17" max="17" width="11.90625" customWidth="1"/>
    <col min="18" max="18" width="6.453125" customWidth="1"/>
    <col min="19" max="19" width="10.453125" bestFit="1" customWidth="1"/>
    <col min="20" max="20" width="10.453125" customWidth="1"/>
    <col min="21" max="21" width="12.08984375" bestFit="1" customWidth="1"/>
    <col min="22" max="22" width="6.453125" customWidth="1"/>
    <col min="23" max="23" width="12.453125" bestFit="1" customWidth="1"/>
    <col min="24" max="24" width="8.453125" customWidth="1"/>
    <col min="25" max="25" width="66.453125" customWidth="1"/>
    <col min="26" max="26" width="10.453125" customWidth="1"/>
    <col min="27" max="27" width="10.453125" bestFit="1" customWidth="1"/>
    <col min="28" max="28" width="34.453125" customWidth="1"/>
  </cols>
  <sheetData>
    <row r="1" spans="1:28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8" ht="41.25" customHeight="1" x14ac:dyDescent="0.65">
      <c r="A2" s="84" t="s">
        <v>36</v>
      </c>
      <c r="B2" s="83"/>
      <c r="C2" s="98" t="s">
        <v>262</v>
      </c>
      <c r="D2" s="83"/>
      <c r="H2" s="91" t="s">
        <v>96</v>
      </c>
      <c r="I2" s="469">
        <v>-49</v>
      </c>
      <c r="J2" s="89" t="s">
        <v>277</v>
      </c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8" ht="30" x14ac:dyDescent="0.6">
      <c r="A3" s="119" t="s">
        <v>136</v>
      </c>
      <c r="B3" s="120"/>
      <c r="C3" s="467">
        <v>4247</v>
      </c>
      <c r="D3" s="122" t="s">
        <v>11</v>
      </c>
      <c r="E3" s="1"/>
      <c r="F3" s="1"/>
      <c r="G3" s="1"/>
      <c r="H3" s="92" t="s">
        <v>97</v>
      </c>
      <c r="I3" s="470">
        <v>51.534999999999997</v>
      </c>
      <c r="J3" s="89" t="s">
        <v>100</v>
      </c>
      <c r="K3" s="1"/>
      <c r="L3" s="1"/>
      <c r="M3" s="831" t="s">
        <v>43</v>
      </c>
      <c r="N3" s="832"/>
      <c r="O3" s="832"/>
      <c r="P3" s="833"/>
      <c r="Q3" s="435"/>
      <c r="R3" s="435"/>
      <c r="S3" s="435"/>
      <c r="T3" s="435"/>
      <c r="U3" s="435"/>
      <c r="V3" s="435"/>
      <c r="W3" s="435"/>
      <c r="X3" s="435"/>
    </row>
    <row r="4" spans="1:28" ht="20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3" t="s">
        <v>48</v>
      </c>
    </row>
    <row r="5" spans="1:28" ht="63" thickBot="1" x14ac:dyDescent="0.6">
      <c r="A5" s="472" t="s">
        <v>98</v>
      </c>
      <c r="B5" s="472" t="s">
        <v>0</v>
      </c>
      <c r="C5" s="472" t="s">
        <v>17</v>
      </c>
      <c r="D5" s="472" t="s">
        <v>1</v>
      </c>
      <c r="E5" s="472" t="s">
        <v>2</v>
      </c>
      <c r="F5" s="473" t="s">
        <v>3</v>
      </c>
      <c r="G5" s="473" t="s">
        <v>4</v>
      </c>
      <c r="H5" s="473" t="s">
        <v>5</v>
      </c>
      <c r="I5" s="474" t="s">
        <v>16</v>
      </c>
      <c r="J5" s="475" t="s">
        <v>15</v>
      </c>
      <c r="K5" s="475" t="s">
        <v>66</v>
      </c>
      <c r="L5" s="894" t="s">
        <v>143</v>
      </c>
      <c r="M5" s="895"/>
      <c r="N5" s="894" t="s">
        <v>144</v>
      </c>
      <c r="O5" s="895"/>
      <c r="P5" s="894" t="s">
        <v>8</v>
      </c>
      <c r="Q5" s="895"/>
      <c r="R5" s="294" t="s">
        <v>41</v>
      </c>
      <c r="S5" s="294" t="s">
        <v>40</v>
      </c>
      <c r="T5" s="294" t="s">
        <v>184</v>
      </c>
      <c r="U5" s="294" t="s">
        <v>39</v>
      </c>
      <c r="V5" s="294" t="s">
        <v>178</v>
      </c>
      <c r="W5" s="294" t="s">
        <v>148</v>
      </c>
      <c r="X5" s="294" t="s">
        <v>42</v>
      </c>
      <c r="Y5" s="295"/>
      <c r="AB5" s="251">
        <f>SUM(P6:Q10,P13,P16)</f>
        <v>2529.8000000000002</v>
      </c>
    </row>
    <row r="6" spans="1:28" ht="46.5" customHeight="1" thickBot="1" x14ac:dyDescent="0.4">
      <c r="A6" s="428">
        <v>1</v>
      </c>
      <c r="B6" s="428">
        <v>6</v>
      </c>
      <c r="C6" s="428">
        <v>0.8</v>
      </c>
      <c r="D6" s="432">
        <f>ABS(F6/C6/60)</f>
        <v>0.14583333333333334</v>
      </c>
      <c r="E6" s="432">
        <f>D6+B6</f>
        <v>6.145833333333333</v>
      </c>
      <c r="F6" s="144">
        <v>-7</v>
      </c>
      <c r="G6" s="428">
        <v>800</v>
      </c>
      <c r="H6" s="431"/>
      <c r="I6" s="433" t="s">
        <v>71</v>
      </c>
      <c r="J6" s="428" t="s">
        <v>131</v>
      </c>
      <c r="K6" s="428" t="s">
        <v>240</v>
      </c>
      <c r="L6" s="734">
        <v>72.522999999999996</v>
      </c>
      <c r="M6" s="735"/>
      <c r="N6" s="734">
        <v>73.024000000000001</v>
      </c>
      <c r="O6" s="735"/>
      <c r="P6" s="734">
        <f>(N6-L6)*1000</f>
        <v>501.00000000000477</v>
      </c>
      <c r="Q6" s="735"/>
      <c r="R6" s="141" t="s">
        <v>54</v>
      </c>
      <c r="S6" s="141" t="s">
        <v>54</v>
      </c>
      <c r="T6" s="141"/>
      <c r="U6" s="471"/>
      <c r="V6" s="428"/>
      <c r="W6" s="428"/>
      <c r="X6" s="428"/>
      <c r="Y6" s="417"/>
    </row>
    <row r="7" spans="1:28" ht="46.5" customHeight="1" thickBot="1" x14ac:dyDescent="0.4">
      <c r="A7" s="428">
        <v>2</v>
      </c>
      <c r="B7" s="428">
        <v>6</v>
      </c>
      <c r="C7" s="428">
        <v>0.8</v>
      </c>
      <c r="D7" s="432">
        <f>(F7-F6)/C7/60</f>
        <v>8.5</v>
      </c>
      <c r="E7" s="432">
        <f>E6+B7+D7</f>
        <v>20.645833333333332</v>
      </c>
      <c r="F7" s="144">
        <f>G$6-G7-$F$28+1</f>
        <v>401</v>
      </c>
      <c r="G7" s="428">
        <v>400</v>
      </c>
      <c r="H7" s="431"/>
      <c r="I7" s="433" t="s">
        <v>57</v>
      </c>
      <c r="J7" s="428" t="s">
        <v>126</v>
      </c>
      <c r="K7" s="428" t="s">
        <v>240</v>
      </c>
      <c r="L7" s="734">
        <v>29.512</v>
      </c>
      <c r="M7" s="735"/>
      <c r="N7" s="816">
        <v>29.927</v>
      </c>
      <c r="O7" s="817"/>
      <c r="P7" s="810">
        <f t="shared" ref="P7:P16" si="0">(N7-L7)*1000</f>
        <v>414.99999999999915</v>
      </c>
      <c r="Q7" s="811"/>
      <c r="R7" s="141" t="s">
        <v>54</v>
      </c>
      <c r="S7" s="141" t="s">
        <v>54</v>
      </c>
      <c r="T7" s="141"/>
      <c r="U7" s="428"/>
      <c r="V7" s="428"/>
      <c r="W7" s="428"/>
      <c r="X7" s="428"/>
      <c r="Y7" s="54"/>
    </row>
    <row r="8" spans="1:28" ht="46.5" customHeight="1" thickBot="1" x14ac:dyDescent="0.4">
      <c r="A8" s="428">
        <v>3</v>
      </c>
      <c r="B8" s="428">
        <v>6</v>
      </c>
      <c r="C8" s="428">
        <v>0.8</v>
      </c>
      <c r="D8" s="432">
        <f>(F8-F7)/C8/60</f>
        <v>4.166666666666667</v>
      </c>
      <c r="E8" s="432">
        <f>E7+B8+D8</f>
        <v>30.8125</v>
      </c>
      <c r="F8" s="144">
        <f>G$7-G8+F7</f>
        <v>601</v>
      </c>
      <c r="G8" s="428">
        <v>200</v>
      </c>
      <c r="H8" s="431"/>
      <c r="I8" s="433" t="s">
        <v>68</v>
      </c>
      <c r="J8" s="428" t="s">
        <v>134</v>
      </c>
      <c r="K8" s="428" t="s">
        <v>240</v>
      </c>
      <c r="L8" s="734">
        <v>80.132999999999996</v>
      </c>
      <c r="M8" s="735"/>
      <c r="N8" s="816">
        <v>80.382999999999996</v>
      </c>
      <c r="O8" s="817"/>
      <c r="P8" s="810">
        <f t="shared" si="0"/>
        <v>250</v>
      </c>
      <c r="Q8" s="811"/>
      <c r="R8" s="141" t="s">
        <v>54</v>
      </c>
      <c r="S8" s="141" t="s">
        <v>54</v>
      </c>
      <c r="T8" s="141"/>
      <c r="U8" s="428"/>
      <c r="V8" s="428"/>
      <c r="W8" s="428"/>
      <c r="X8" s="428"/>
      <c r="Y8" s="417"/>
    </row>
    <row r="9" spans="1:28" ht="46.5" customHeight="1" thickBot="1" x14ac:dyDescent="0.4">
      <c r="A9" s="428">
        <v>4</v>
      </c>
      <c r="B9" s="428">
        <v>6</v>
      </c>
      <c r="C9" s="428">
        <v>0.8</v>
      </c>
      <c r="D9" s="432">
        <f t="shared" ref="D9:D11" si="1">(F9-F8)/C9/60</f>
        <v>1.0416666666666667</v>
      </c>
      <c r="E9" s="432">
        <f>E8+B9+D9</f>
        <v>37.854166666666664</v>
      </c>
      <c r="F9" s="144">
        <f t="shared" ref="F9:F11" si="2">G8-G9+F8</f>
        <v>651</v>
      </c>
      <c r="G9" s="428">
        <v>150</v>
      </c>
      <c r="H9" s="431"/>
      <c r="I9" s="433" t="s">
        <v>61</v>
      </c>
      <c r="J9" s="428" t="s">
        <v>127</v>
      </c>
      <c r="K9" s="428" t="s">
        <v>240</v>
      </c>
      <c r="L9" s="734">
        <v>50.231999999999999</v>
      </c>
      <c r="M9" s="735"/>
      <c r="N9" s="816">
        <v>50.491999999999997</v>
      </c>
      <c r="O9" s="817"/>
      <c r="P9" s="810">
        <f t="shared" si="0"/>
        <v>259.99999999999801</v>
      </c>
      <c r="Q9" s="811"/>
      <c r="R9" s="141" t="s">
        <v>54</v>
      </c>
      <c r="S9" s="141" t="s">
        <v>54</v>
      </c>
      <c r="T9" s="141"/>
      <c r="U9" s="428"/>
      <c r="V9" s="428"/>
      <c r="W9" s="428"/>
      <c r="X9" s="428"/>
      <c r="Y9" s="54" t="s">
        <v>261</v>
      </c>
    </row>
    <row r="10" spans="1:28" ht="46.5" customHeight="1" thickBot="1" x14ac:dyDescent="0.4">
      <c r="A10" s="428">
        <v>5</v>
      </c>
      <c r="B10" s="428">
        <v>6</v>
      </c>
      <c r="C10" s="428">
        <v>0.8</v>
      </c>
      <c r="D10" s="432">
        <f t="shared" si="1"/>
        <v>1.0416666666666667</v>
      </c>
      <c r="E10" s="432">
        <f>E9+B10+D10</f>
        <v>44.895833333333329</v>
      </c>
      <c r="F10" s="144">
        <f t="shared" si="2"/>
        <v>701</v>
      </c>
      <c r="G10" s="428">
        <v>100</v>
      </c>
      <c r="H10" s="431"/>
      <c r="I10" s="433" t="s">
        <v>67</v>
      </c>
      <c r="J10" s="438" t="s">
        <v>133</v>
      </c>
      <c r="K10" s="428" t="s">
        <v>240</v>
      </c>
      <c r="L10" s="816">
        <v>77.129000000000005</v>
      </c>
      <c r="M10" s="817"/>
      <c r="N10" s="816">
        <v>77.453000000000003</v>
      </c>
      <c r="O10" s="817"/>
      <c r="P10" s="810">
        <f t="shared" si="0"/>
        <v>323.99999999999807</v>
      </c>
      <c r="Q10" s="811"/>
      <c r="R10" s="141" t="s">
        <v>54</v>
      </c>
      <c r="S10" s="141" t="s">
        <v>54</v>
      </c>
      <c r="T10" s="141"/>
      <c r="U10" s="428"/>
      <c r="V10" s="428"/>
      <c r="W10" s="428"/>
      <c r="X10" s="428"/>
      <c r="Y10" s="416"/>
    </row>
    <row r="11" spans="1:28" ht="46.5" customHeight="1" x14ac:dyDescent="0.35">
      <c r="A11" s="806">
        <v>6</v>
      </c>
      <c r="B11" s="806">
        <v>6</v>
      </c>
      <c r="C11" s="806">
        <v>0.8</v>
      </c>
      <c r="D11" s="807">
        <f t="shared" si="1"/>
        <v>0.83333333333333337</v>
      </c>
      <c r="E11" s="807">
        <f t="shared" ref="E11" si="3">E10+B11+D11</f>
        <v>51.729166666666664</v>
      </c>
      <c r="F11" s="858">
        <f t="shared" si="2"/>
        <v>741</v>
      </c>
      <c r="G11" s="806">
        <v>60</v>
      </c>
      <c r="H11" s="891"/>
      <c r="I11" s="837" t="s">
        <v>23</v>
      </c>
      <c r="J11" s="427" t="s">
        <v>150</v>
      </c>
      <c r="K11" s="427" t="s">
        <v>64</v>
      </c>
      <c r="L11" s="812">
        <v>4.3101000000000003</v>
      </c>
      <c r="M11" s="813"/>
      <c r="N11" s="812">
        <v>4.4858000000000002</v>
      </c>
      <c r="O11" s="813"/>
      <c r="P11" s="888">
        <f t="shared" si="0"/>
        <v>175.69999999999996</v>
      </c>
      <c r="Q11" s="889"/>
      <c r="R11" s="427"/>
      <c r="S11" s="427"/>
      <c r="T11" s="427"/>
      <c r="U11" s="142" t="s">
        <v>54</v>
      </c>
      <c r="V11" s="142"/>
      <c r="W11" s="142" t="s">
        <v>54</v>
      </c>
      <c r="X11" s="142"/>
      <c r="Y11" s="166"/>
    </row>
    <row r="12" spans="1:28" ht="46.5" customHeight="1" x14ac:dyDescent="0.35">
      <c r="A12" s="742"/>
      <c r="B12" s="742"/>
      <c r="C12" s="742"/>
      <c r="D12" s="789"/>
      <c r="E12" s="789"/>
      <c r="F12" s="791"/>
      <c r="G12" s="742"/>
      <c r="H12" s="892"/>
      <c r="I12" s="801"/>
      <c r="J12" s="425" t="s">
        <v>151</v>
      </c>
      <c r="K12" s="425" t="s">
        <v>240</v>
      </c>
      <c r="L12" s="814">
        <v>5.6839000000000004</v>
      </c>
      <c r="M12" s="815"/>
      <c r="N12" s="814">
        <v>5.9158999999999997</v>
      </c>
      <c r="O12" s="815"/>
      <c r="P12" s="740">
        <f t="shared" si="0"/>
        <v>231.99999999999932</v>
      </c>
      <c r="Q12" s="740"/>
      <c r="R12" s="167" t="s">
        <v>54</v>
      </c>
      <c r="S12" s="167" t="s">
        <v>54</v>
      </c>
      <c r="T12" s="167"/>
      <c r="U12" s="425"/>
      <c r="V12" s="425"/>
      <c r="W12" s="425"/>
      <c r="X12" s="425"/>
      <c r="Y12" s="429"/>
    </row>
    <row r="13" spans="1:28" ht="46.5" customHeight="1" thickBot="1" x14ac:dyDescent="0.4">
      <c r="A13" s="743"/>
      <c r="B13" s="743"/>
      <c r="C13" s="743"/>
      <c r="D13" s="790"/>
      <c r="E13" s="790"/>
      <c r="F13" s="792"/>
      <c r="G13" s="743"/>
      <c r="H13" s="893"/>
      <c r="I13" s="802"/>
      <c r="J13" s="426" t="s">
        <v>179</v>
      </c>
      <c r="K13" s="426"/>
      <c r="L13" s="810">
        <v>9.8276000000000003</v>
      </c>
      <c r="M13" s="811"/>
      <c r="N13" s="810">
        <v>10.2338</v>
      </c>
      <c r="O13" s="811"/>
      <c r="P13" s="734">
        <f t="shared" si="0"/>
        <v>406.2000000000001</v>
      </c>
      <c r="Q13" s="735"/>
      <c r="R13" s="168"/>
      <c r="S13" s="168"/>
      <c r="T13" s="168"/>
      <c r="U13" s="426"/>
      <c r="V13" s="426"/>
      <c r="W13" s="426"/>
      <c r="X13" s="426"/>
      <c r="Y13" s="430"/>
    </row>
    <row r="14" spans="1:28" ht="46.5" customHeight="1" x14ac:dyDescent="0.35">
      <c r="A14" s="806">
        <v>7</v>
      </c>
      <c r="B14" s="806">
        <v>6</v>
      </c>
      <c r="C14" s="806">
        <v>0.8</v>
      </c>
      <c r="D14" s="807">
        <f>(F14-F11)/C14/60</f>
        <v>0.625</v>
      </c>
      <c r="E14" s="807">
        <f>E11+B14+D14</f>
        <v>58.354166666666664</v>
      </c>
      <c r="F14" s="890">
        <f>G11-G14+F11</f>
        <v>771</v>
      </c>
      <c r="G14" s="823">
        <v>30</v>
      </c>
      <c r="H14" s="824"/>
      <c r="I14" s="834" t="s">
        <v>27</v>
      </c>
      <c r="J14" s="434" t="s">
        <v>150</v>
      </c>
      <c r="K14" s="434" t="s">
        <v>64</v>
      </c>
      <c r="L14" s="812">
        <v>4.8464</v>
      </c>
      <c r="M14" s="813"/>
      <c r="N14" s="812">
        <v>5.0076999999999998</v>
      </c>
      <c r="O14" s="813"/>
      <c r="P14" s="888">
        <f t="shared" si="0"/>
        <v>161.29999999999978</v>
      </c>
      <c r="Q14" s="889"/>
      <c r="R14" s="434"/>
      <c r="S14" s="434"/>
      <c r="T14" s="434"/>
      <c r="U14" s="169" t="s">
        <v>54</v>
      </c>
      <c r="V14" s="169"/>
      <c r="W14" s="142" t="s">
        <v>54</v>
      </c>
      <c r="X14" s="169"/>
      <c r="Y14" s="170"/>
    </row>
    <row r="15" spans="1:28" ht="46.5" customHeight="1" x14ac:dyDescent="0.35">
      <c r="A15" s="742"/>
      <c r="B15" s="742"/>
      <c r="C15" s="742"/>
      <c r="D15" s="789"/>
      <c r="E15" s="789"/>
      <c r="F15" s="821"/>
      <c r="G15" s="740"/>
      <c r="H15" s="825"/>
      <c r="I15" s="835"/>
      <c r="J15" s="425" t="s">
        <v>151</v>
      </c>
      <c r="K15" s="425" t="s">
        <v>240</v>
      </c>
      <c r="L15" s="814">
        <v>6.2930000000000001</v>
      </c>
      <c r="M15" s="815"/>
      <c r="N15" s="814">
        <v>6.5075000000000003</v>
      </c>
      <c r="O15" s="815"/>
      <c r="P15" s="740">
        <f t="shared" si="0"/>
        <v>214.50000000000014</v>
      </c>
      <c r="Q15" s="740"/>
      <c r="R15" s="167" t="s">
        <v>54</v>
      </c>
      <c r="S15" s="167" t="s">
        <v>54</v>
      </c>
      <c r="T15" s="167" t="s">
        <v>54</v>
      </c>
      <c r="U15" s="425"/>
      <c r="V15" s="425"/>
      <c r="W15" s="425"/>
      <c r="X15" s="425"/>
      <c r="Y15" s="429"/>
    </row>
    <row r="16" spans="1:28" ht="46.5" customHeight="1" thickBot="1" x14ac:dyDescent="0.4">
      <c r="A16" s="743"/>
      <c r="B16" s="743"/>
      <c r="C16" s="743"/>
      <c r="D16" s="790"/>
      <c r="E16" s="790"/>
      <c r="F16" s="822"/>
      <c r="G16" s="741"/>
      <c r="H16" s="826"/>
      <c r="I16" s="836"/>
      <c r="J16" s="426" t="s">
        <v>179</v>
      </c>
      <c r="K16" s="426"/>
      <c r="L16" s="810">
        <v>10.879200000000001</v>
      </c>
      <c r="M16" s="811"/>
      <c r="N16" s="810">
        <v>11.252800000000001</v>
      </c>
      <c r="O16" s="811"/>
      <c r="P16" s="734">
        <f t="shared" si="0"/>
        <v>373.59999999999968</v>
      </c>
      <c r="Q16" s="735"/>
      <c r="R16" s="168"/>
      <c r="S16" s="168"/>
      <c r="T16" s="168"/>
      <c r="U16" s="426"/>
      <c r="V16" s="426"/>
      <c r="W16" s="426"/>
      <c r="X16" s="426"/>
      <c r="Y16" s="430"/>
    </row>
    <row r="17" spans="1:27" ht="47.9" customHeight="1" thickBot="1" x14ac:dyDescent="0.6">
      <c r="A17" s="24" t="s">
        <v>10</v>
      </c>
      <c r="B17" s="424">
        <f>SUM(B6:B16)</f>
        <v>42</v>
      </c>
      <c r="C17" s="424"/>
      <c r="D17" s="437">
        <f>SUM(D6:D16)</f>
        <v>16.354166666666664</v>
      </c>
      <c r="E17" s="437"/>
      <c r="F17" s="144">
        <f>G6</f>
        <v>800</v>
      </c>
      <c r="G17" s="827" t="s">
        <v>18</v>
      </c>
      <c r="H17" s="828"/>
      <c r="I17" s="828"/>
      <c r="J17" s="22"/>
      <c r="K17" s="97" t="s">
        <v>103</v>
      </c>
      <c r="L17" s="838" t="s">
        <v>102</v>
      </c>
      <c r="M17" s="838"/>
      <c r="N17" s="838" t="s">
        <v>53</v>
      </c>
      <c r="O17" s="838"/>
    </row>
    <row r="18" spans="1:27" ht="48.75" customHeight="1" x14ac:dyDescent="0.35">
      <c r="A18" s="26" t="s">
        <v>12</v>
      </c>
      <c r="B18" s="425">
        <f>B17/60</f>
        <v>0.7</v>
      </c>
      <c r="C18" s="425"/>
      <c r="D18" s="436">
        <f>D17/60</f>
        <v>0.27256944444444442</v>
      </c>
      <c r="E18" s="436"/>
      <c r="F18" s="27"/>
      <c r="J18" s="95" t="s">
        <v>145</v>
      </c>
      <c r="K18" s="30">
        <v>44235</v>
      </c>
      <c r="L18" s="829">
        <v>0.3125</v>
      </c>
      <c r="M18" s="830"/>
      <c r="N18" s="803">
        <v>0.14583333333333334</v>
      </c>
      <c r="O18" s="803"/>
      <c r="AA18">
        <v>1</v>
      </c>
    </row>
    <row r="19" spans="1:27" ht="55.4" customHeight="1" x14ac:dyDescent="0.35">
      <c r="J19" s="96" t="s">
        <v>45</v>
      </c>
      <c r="K19" s="30">
        <v>44235</v>
      </c>
      <c r="L19" s="762">
        <v>0.3888888888888889</v>
      </c>
      <c r="M19" s="766"/>
      <c r="N19" s="765">
        <v>0.22222222222222221</v>
      </c>
      <c r="O19" s="765"/>
    </row>
    <row r="20" spans="1:27" ht="50.25" customHeight="1" x14ac:dyDescent="0.35">
      <c r="A20" s="1"/>
      <c r="B20" s="1"/>
      <c r="C20" s="1"/>
      <c r="D20" s="1"/>
      <c r="E20" s="1"/>
      <c r="F20" s="1"/>
      <c r="G20" s="1"/>
      <c r="J20" s="96" t="s">
        <v>46</v>
      </c>
      <c r="K20" s="30">
        <v>44235</v>
      </c>
      <c r="L20" s="762">
        <v>0.43055555555555558</v>
      </c>
      <c r="M20" s="766"/>
      <c r="N20" s="765">
        <v>0.2638888888888889</v>
      </c>
      <c r="O20" s="765"/>
    </row>
    <row r="21" spans="1:27" ht="50.25" customHeight="1" x14ac:dyDescent="0.35">
      <c r="A21" s="805" t="s">
        <v>52</v>
      </c>
      <c r="B21" s="805"/>
      <c r="C21" s="805"/>
      <c r="D21" s="805"/>
      <c r="E21" s="805"/>
      <c r="F21" s="805"/>
      <c r="J21" s="96" t="s">
        <v>47</v>
      </c>
      <c r="K21" s="30">
        <v>44235</v>
      </c>
      <c r="L21" s="762">
        <v>0.54513888888888895</v>
      </c>
      <c r="M21" s="766"/>
      <c r="N21" s="765">
        <v>0.2951388888888889</v>
      </c>
      <c r="O21" s="765"/>
    </row>
    <row r="22" spans="1:27" ht="20" x14ac:dyDescent="0.4">
      <c r="A22" s="17" t="s">
        <v>51</v>
      </c>
      <c r="B22" s="17"/>
      <c r="C22" s="17"/>
      <c r="F22" s="22">
        <v>8</v>
      </c>
      <c r="G22" s="20" t="s">
        <v>11</v>
      </c>
      <c r="J22" s="17"/>
      <c r="K22" s="19"/>
    </row>
    <row r="23" spans="1:27" ht="60" customHeight="1" x14ac:dyDescent="0.4">
      <c r="F23" s="17"/>
      <c r="G23" s="17"/>
      <c r="J23" s="10" t="s">
        <v>50</v>
      </c>
      <c r="K23" s="31">
        <f>E14</f>
        <v>58.354166666666664</v>
      </c>
    </row>
    <row r="24" spans="1:27" ht="78" customHeight="1" x14ac:dyDescent="0.4">
      <c r="A24" s="390" t="s">
        <v>243</v>
      </c>
      <c r="B24" s="418" t="s">
        <v>254</v>
      </c>
      <c r="F24" s="17"/>
      <c r="G24" s="17"/>
      <c r="H24" s="17"/>
      <c r="I24" s="15"/>
      <c r="J24" s="10" t="s">
        <v>49</v>
      </c>
      <c r="K24" s="31">
        <f>D17+B14*A14</f>
        <v>58.354166666666664</v>
      </c>
    </row>
    <row r="25" spans="1:27" ht="57.75" customHeight="1" x14ac:dyDescent="0.4">
      <c r="A25" s="19"/>
      <c r="B25" s="20"/>
      <c r="C25" s="17"/>
      <c r="I25" s="9"/>
      <c r="J25" s="1"/>
      <c r="K25" s="1"/>
      <c r="L25" s="1"/>
      <c r="M25" s="2"/>
      <c r="N25" s="2"/>
    </row>
    <row r="26" spans="1:27" ht="20" x14ac:dyDescent="0.4">
      <c r="C26" s="17"/>
      <c r="D26" s="17"/>
      <c r="E26" s="17" t="s">
        <v>14</v>
      </c>
      <c r="F26" s="17"/>
      <c r="I26" s="15"/>
      <c r="J26" s="1"/>
      <c r="K26" s="1"/>
      <c r="L26" s="1"/>
      <c r="M26" s="2"/>
      <c r="N26" s="2"/>
    </row>
    <row r="27" spans="1:27" ht="20" x14ac:dyDescent="0.4">
      <c r="A27" s="19"/>
      <c r="B27" s="20"/>
      <c r="C27" s="17"/>
      <c r="D27" s="17"/>
      <c r="E27" s="23"/>
      <c r="F27" s="17"/>
      <c r="G27" s="17"/>
      <c r="H27" s="17"/>
      <c r="I27" s="15"/>
      <c r="J27" s="1"/>
      <c r="K27" s="1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7" ht="20" x14ac:dyDescent="0.4">
      <c r="A28" s="19"/>
      <c r="B28" s="20"/>
      <c r="C28" s="17"/>
      <c r="D28" s="17"/>
      <c r="E28" s="17"/>
      <c r="F28" s="17"/>
      <c r="G28" s="17"/>
      <c r="H28" s="17"/>
      <c r="I28" s="15"/>
      <c r="J28" s="1"/>
      <c r="K28" s="1"/>
      <c r="L28" s="1"/>
      <c r="M28" s="2"/>
      <c r="N28" s="2"/>
    </row>
    <row r="29" spans="1:27" ht="18.5" x14ac:dyDescent="0.45">
      <c r="A29" s="16"/>
      <c r="B29" s="16"/>
      <c r="C29" s="16"/>
      <c r="D29" s="16"/>
      <c r="E29" s="16"/>
      <c r="F29" s="16"/>
      <c r="G29" s="16"/>
      <c r="H29" s="16"/>
      <c r="I29" s="16"/>
    </row>
  </sheetData>
  <mergeCells count="67">
    <mergeCell ref="L6:M6"/>
    <mergeCell ref="N6:O6"/>
    <mergeCell ref="P6:Q6"/>
    <mergeCell ref="M3:P3"/>
    <mergeCell ref="L5:M5"/>
    <mergeCell ref="N5:O5"/>
    <mergeCell ref="P5:Q5"/>
    <mergeCell ref="L8:M8"/>
    <mergeCell ref="N8:O8"/>
    <mergeCell ref="P8:Q8"/>
    <mergeCell ref="L7:M7"/>
    <mergeCell ref="N7:O7"/>
    <mergeCell ref="P7:Q7"/>
    <mergeCell ref="L9:M9"/>
    <mergeCell ref="N9:O9"/>
    <mergeCell ref="P9:Q9"/>
    <mergeCell ref="L10:M10"/>
    <mergeCell ref="N10:O10"/>
    <mergeCell ref="P10:Q10"/>
    <mergeCell ref="L12:M12"/>
    <mergeCell ref="N12:O12"/>
    <mergeCell ref="P12:Q12"/>
    <mergeCell ref="L13:M13"/>
    <mergeCell ref="A11:A13"/>
    <mergeCell ref="B11:B13"/>
    <mergeCell ref="C11:C13"/>
    <mergeCell ref="D11:D13"/>
    <mergeCell ref="E11:E13"/>
    <mergeCell ref="F11:F13"/>
    <mergeCell ref="N13:O13"/>
    <mergeCell ref="P13:Q13"/>
    <mergeCell ref="I11:I13"/>
    <mergeCell ref="L11:M11"/>
    <mergeCell ref="N11:O11"/>
    <mergeCell ref="P11:Q11"/>
    <mergeCell ref="A14:A16"/>
    <mergeCell ref="B14:B16"/>
    <mergeCell ref="C14:C16"/>
    <mergeCell ref="D14:D16"/>
    <mergeCell ref="E14:E16"/>
    <mergeCell ref="F14:F16"/>
    <mergeCell ref="G14:G16"/>
    <mergeCell ref="H14:H16"/>
    <mergeCell ref="G11:G13"/>
    <mergeCell ref="H11:H13"/>
    <mergeCell ref="P14:Q14"/>
    <mergeCell ref="L15:M15"/>
    <mergeCell ref="N15:O15"/>
    <mergeCell ref="P15:Q15"/>
    <mergeCell ref="L16:M16"/>
    <mergeCell ref="N16:O16"/>
    <mergeCell ref="P16:Q16"/>
    <mergeCell ref="L19:M19"/>
    <mergeCell ref="N19:O19"/>
    <mergeCell ref="I14:I16"/>
    <mergeCell ref="L14:M14"/>
    <mergeCell ref="N14:O14"/>
    <mergeCell ref="G17:I17"/>
    <mergeCell ref="L17:M17"/>
    <mergeCell ref="N17:O17"/>
    <mergeCell ref="L18:M18"/>
    <mergeCell ref="N18:O18"/>
    <mergeCell ref="L20:M20"/>
    <mergeCell ref="N20:O20"/>
    <mergeCell ref="A21:F21"/>
    <mergeCell ref="L21:M21"/>
    <mergeCell ref="N21:O21"/>
  </mergeCells>
  <pageMargins left="0.7" right="0.7" top="0.75" bottom="0.75" header="0.3" footer="0.3"/>
  <pageSetup paperSize="9" scale="3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topLeftCell="B1" zoomScale="40" zoomScaleNormal="40" workbookViewId="0">
      <selection activeCell="AB5" sqref="AB5"/>
    </sheetView>
  </sheetViews>
  <sheetFormatPr defaultColWidth="11.453125" defaultRowHeight="14.5" x14ac:dyDescent="0.35"/>
  <cols>
    <col min="1" max="1" width="12.08984375" customWidth="1"/>
    <col min="2" max="2" width="13" customWidth="1"/>
    <col min="3" max="3" width="15.453125" customWidth="1"/>
    <col min="4" max="5" width="14.453125" customWidth="1"/>
    <col min="6" max="6" width="19.90625" customWidth="1"/>
    <col min="7" max="7" width="26.453125" bestFit="1" customWidth="1"/>
    <col min="8" max="8" width="17.453125" customWidth="1"/>
    <col min="9" max="9" width="30.453125" customWidth="1"/>
    <col min="10" max="10" width="50.90625" bestFit="1" customWidth="1"/>
    <col min="11" max="11" width="20.90625" customWidth="1"/>
    <col min="12" max="12" width="11.453125" customWidth="1"/>
    <col min="13" max="14" width="10" customWidth="1"/>
    <col min="15" max="15" width="16.08984375" customWidth="1"/>
    <col min="16" max="16" width="15.90625" customWidth="1"/>
    <col min="17" max="17" width="11.90625" customWidth="1"/>
    <col min="18" max="18" width="6.453125" customWidth="1"/>
    <col min="19" max="19" width="10.453125" bestFit="1" customWidth="1"/>
    <col min="20" max="20" width="10.453125" customWidth="1"/>
    <col min="21" max="21" width="12.08984375" bestFit="1" customWidth="1"/>
    <col min="22" max="22" width="6.453125" customWidth="1"/>
    <col min="23" max="23" width="12.453125" bestFit="1" customWidth="1"/>
    <col min="24" max="24" width="8.453125" customWidth="1"/>
    <col min="25" max="25" width="66.453125" customWidth="1"/>
    <col min="26" max="26" width="10.453125" customWidth="1"/>
    <col min="27" max="27" width="10.453125" bestFit="1" customWidth="1"/>
    <col min="28" max="28" width="34.453125" customWidth="1"/>
  </cols>
  <sheetData>
    <row r="1" spans="1:28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8" ht="41.25" customHeight="1" x14ac:dyDescent="0.65">
      <c r="A2" s="84" t="s">
        <v>36</v>
      </c>
      <c r="B2" s="83"/>
      <c r="C2" s="98" t="s">
        <v>269</v>
      </c>
      <c r="D2" s="83"/>
      <c r="H2" s="91" t="s">
        <v>96</v>
      </c>
      <c r="I2" s="423">
        <v>-46.12</v>
      </c>
      <c r="J2" s="89" t="s">
        <v>277</v>
      </c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8" ht="30" x14ac:dyDescent="0.6">
      <c r="A3" s="119" t="s">
        <v>136</v>
      </c>
      <c r="B3" s="120"/>
      <c r="C3" s="121">
        <v>2080</v>
      </c>
      <c r="D3" s="122" t="s">
        <v>11</v>
      </c>
      <c r="E3" s="1"/>
      <c r="F3" s="1"/>
      <c r="G3" s="1"/>
      <c r="H3" s="92" t="s">
        <v>97</v>
      </c>
      <c r="I3" s="423">
        <v>51.89</v>
      </c>
      <c r="J3" s="89" t="s">
        <v>100</v>
      </c>
      <c r="K3" s="1"/>
      <c r="L3" s="1"/>
      <c r="M3" s="831" t="s">
        <v>43</v>
      </c>
      <c r="N3" s="832"/>
      <c r="O3" s="832"/>
      <c r="P3" s="833"/>
      <c r="Q3" s="453"/>
      <c r="R3" s="453"/>
      <c r="S3" s="453"/>
      <c r="T3" s="453"/>
      <c r="U3" s="453"/>
      <c r="V3" s="453"/>
      <c r="W3" s="453"/>
      <c r="X3" s="453"/>
    </row>
    <row r="4" spans="1:28" ht="20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3" t="s">
        <v>48</v>
      </c>
    </row>
    <row r="5" spans="1:28" ht="63" thickBot="1" x14ac:dyDescent="0.65">
      <c r="A5" s="472" t="s">
        <v>98</v>
      </c>
      <c r="B5" s="472" t="s">
        <v>0</v>
      </c>
      <c r="C5" s="472" t="s">
        <v>17</v>
      </c>
      <c r="D5" s="472" t="s">
        <v>1</v>
      </c>
      <c r="E5" s="472" t="s">
        <v>2</v>
      </c>
      <c r="F5" s="473" t="s">
        <v>3</v>
      </c>
      <c r="G5" s="473" t="s">
        <v>4</v>
      </c>
      <c r="H5" s="473" t="s">
        <v>5</v>
      </c>
      <c r="I5" s="474" t="s">
        <v>16</v>
      </c>
      <c r="J5" s="475" t="s">
        <v>15</v>
      </c>
      <c r="K5" s="475" t="s">
        <v>66</v>
      </c>
      <c r="L5" s="894" t="s">
        <v>143</v>
      </c>
      <c r="M5" s="895"/>
      <c r="N5" s="894" t="s">
        <v>144</v>
      </c>
      <c r="O5" s="895"/>
      <c r="P5" s="894" t="s">
        <v>8</v>
      </c>
      <c r="Q5" s="895"/>
      <c r="R5" s="294" t="s">
        <v>41</v>
      </c>
      <c r="S5" s="294" t="s">
        <v>40</v>
      </c>
      <c r="T5" s="294" t="s">
        <v>184</v>
      </c>
      <c r="U5" s="294" t="s">
        <v>39</v>
      </c>
      <c r="V5" s="294" t="s">
        <v>178</v>
      </c>
      <c r="W5" s="294" t="s">
        <v>148</v>
      </c>
      <c r="X5" s="294" t="s">
        <v>42</v>
      </c>
      <c r="Y5" s="295"/>
      <c r="AB5" s="120">
        <f>SUM(P6:Q10,P13,P16)</f>
        <v>3752.9000000000055</v>
      </c>
    </row>
    <row r="6" spans="1:28" ht="46.5" customHeight="1" thickBot="1" x14ac:dyDescent="0.4">
      <c r="A6" s="443">
        <v>1</v>
      </c>
      <c r="B6" s="443">
        <v>6</v>
      </c>
      <c r="C6" s="443">
        <v>0.8</v>
      </c>
      <c r="D6" s="449">
        <f>ABS(F6/C6/60)</f>
        <v>0.14583333333333334</v>
      </c>
      <c r="E6" s="449">
        <f>D6+B6</f>
        <v>6.145833333333333</v>
      </c>
      <c r="F6" s="144">
        <v>-7</v>
      </c>
      <c r="G6" s="443">
        <v>800</v>
      </c>
      <c r="H6" s="448"/>
      <c r="I6" s="450" t="s">
        <v>71</v>
      </c>
      <c r="J6" s="443" t="s">
        <v>131</v>
      </c>
      <c r="K6" s="443" t="s">
        <v>240</v>
      </c>
      <c r="L6" s="734">
        <v>73.024000000000001</v>
      </c>
      <c r="M6" s="735"/>
      <c r="N6" s="734">
        <v>73.81</v>
      </c>
      <c r="O6" s="735"/>
      <c r="P6" s="734">
        <f t="shared" ref="P6:P16" si="0">(N6-L6)*1000</f>
        <v>786.00000000000136</v>
      </c>
      <c r="Q6" s="735"/>
      <c r="R6" s="141" t="s">
        <v>54</v>
      </c>
      <c r="S6" s="141" t="s">
        <v>54</v>
      </c>
      <c r="T6" s="141"/>
      <c r="U6" s="471"/>
      <c r="V6" s="443"/>
      <c r="W6" s="443"/>
      <c r="X6" s="443"/>
      <c r="Y6" s="417"/>
    </row>
    <row r="7" spans="1:28" ht="46.5" customHeight="1" thickBot="1" x14ac:dyDescent="0.4">
      <c r="A7" s="443">
        <v>2</v>
      </c>
      <c r="B7" s="443">
        <v>6</v>
      </c>
      <c r="C7" s="443">
        <v>0.8</v>
      </c>
      <c r="D7" s="449">
        <f>(F7-F6)/C7/60</f>
        <v>8.3333333333333339</v>
      </c>
      <c r="E7" s="449">
        <f>E6+B7+D7</f>
        <v>20.479166666666664</v>
      </c>
      <c r="F7" s="144">
        <f>G$6-G7-$F$22+1</f>
        <v>393</v>
      </c>
      <c r="G7" s="443">
        <v>400</v>
      </c>
      <c r="H7" s="448"/>
      <c r="I7" s="450" t="s">
        <v>57</v>
      </c>
      <c r="J7" s="443" t="s">
        <v>126</v>
      </c>
      <c r="K7" s="443" t="s">
        <v>240</v>
      </c>
      <c r="L7" s="734">
        <v>29.927</v>
      </c>
      <c r="M7" s="735"/>
      <c r="N7" s="816">
        <v>30.556999999999999</v>
      </c>
      <c r="O7" s="817"/>
      <c r="P7" s="810">
        <f t="shared" si="0"/>
        <v>629.99999999999898</v>
      </c>
      <c r="Q7" s="811"/>
      <c r="R7" s="141" t="s">
        <v>54</v>
      </c>
      <c r="S7" s="141" t="s">
        <v>54</v>
      </c>
      <c r="T7" s="141"/>
      <c r="U7" s="443"/>
      <c r="V7" s="443"/>
      <c r="W7" s="443"/>
      <c r="X7" s="443"/>
      <c r="Y7" s="54"/>
    </row>
    <row r="8" spans="1:28" ht="46.5" customHeight="1" thickBot="1" x14ac:dyDescent="0.4">
      <c r="A8" s="443">
        <v>3</v>
      </c>
      <c r="B8" s="443">
        <v>6</v>
      </c>
      <c r="C8" s="443">
        <v>0.8</v>
      </c>
      <c r="D8" s="449">
        <f>(F8-F7)/C8/60</f>
        <v>4.166666666666667</v>
      </c>
      <c r="E8" s="449">
        <f>E7+B8+D8</f>
        <v>30.645833333333332</v>
      </c>
      <c r="F8" s="144">
        <f>G$7-G8+F7</f>
        <v>593</v>
      </c>
      <c r="G8" s="443">
        <v>200</v>
      </c>
      <c r="H8" s="448"/>
      <c r="I8" s="450" t="s">
        <v>68</v>
      </c>
      <c r="J8" s="443" t="s">
        <v>134</v>
      </c>
      <c r="K8" s="443" t="s">
        <v>240</v>
      </c>
      <c r="L8" s="734">
        <v>80.382999999999996</v>
      </c>
      <c r="M8" s="735"/>
      <c r="N8" s="816">
        <v>80.790999999999997</v>
      </c>
      <c r="O8" s="817"/>
      <c r="P8" s="810">
        <f t="shared" si="0"/>
        <v>408.00000000000125</v>
      </c>
      <c r="Q8" s="811"/>
      <c r="R8" s="141" t="s">
        <v>54</v>
      </c>
      <c r="S8" s="141" t="s">
        <v>54</v>
      </c>
      <c r="T8" s="141"/>
      <c r="U8" s="443"/>
      <c r="V8" s="443"/>
      <c r="W8" s="443"/>
      <c r="X8" s="443"/>
      <c r="Y8" s="417"/>
    </row>
    <row r="9" spans="1:28" ht="46.5" customHeight="1" thickBot="1" x14ac:dyDescent="0.4">
      <c r="A9" s="443">
        <v>4</v>
      </c>
      <c r="B9" s="443">
        <v>6</v>
      </c>
      <c r="C9" s="443">
        <v>0.8</v>
      </c>
      <c r="D9" s="449">
        <f t="shared" ref="D9:D11" si="1">(F9-F8)/C9/60</f>
        <v>1.6666666666666667</v>
      </c>
      <c r="E9" s="449">
        <f>E8+B9+D9</f>
        <v>38.312499999999993</v>
      </c>
      <c r="F9" s="144">
        <f t="shared" ref="F9:F11" si="2">G8-G9+F8</f>
        <v>673</v>
      </c>
      <c r="G9" s="443">
        <v>120</v>
      </c>
      <c r="H9" s="448"/>
      <c r="I9" s="450" t="s">
        <v>61</v>
      </c>
      <c r="J9" s="443" t="s">
        <v>127</v>
      </c>
      <c r="K9" s="443" t="s">
        <v>240</v>
      </c>
      <c r="L9" s="734">
        <v>50.491999999999997</v>
      </c>
      <c r="M9" s="735"/>
      <c r="N9" s="816">
        <v>51.027000000000001</v>
      </c>
      <c r="O9" s="817"/>
      <c r="P9" s="810">
        <f t="shared" si="0"/>
        <v>535.00000000000364</v>
      </c>
      <c r="Q9" s="811"/>
      <c r="R9" s="141" t="s">
        <v>54</v>
      </c>
      <c r="S9" s="141" t="s">
        <v>54</v>
      </c>
      <c r="T9" s="141"/>
      <c r="U9" s="443"/>
      <c r="V9" s="443"/>
      <c r="W9" s="443"/>
      <c r="X9" s="443"/>
      <c r="Y9" s="504" t="s">
        <v>290</v>
      </c>
    </row>
    <row r="10" spans="1:28" ht="46.5" customHeight="1" thickBot="1" x14ac:dyDescent="0.4">
      <c r="A10" s="443">
        <v>5</v>
      </c>
      <c r="B10" s="443">
        <v>6</v>
      </c>
      <c r="C10" s="443">
        <v>0.8</v>
      </c>
      <c r="D10" s="449">
        <f t="shared" si="1"/>
        <v>0.83333333333333337</v>
      </c>
      <c r="E10" s="449">
        <f>E9+B10+D10</f>
        <v>45.145833333333329</v>
      </c>
      <c r="F10" s="144">
        <f t="shared" si="2"/>
        <v>713</v>
      </c>
      <c r="G10" s="443">
        <v>80</v>
      </c>
      <c r="H10" s="448"/>
      <c r="I10" s="450" t="s">
        <v>67</v>
      </c>
      <c r="J10" s="457" t="s">
        <v>133</v>
      </c>
      <c r="K10" s="443" t="s">
        <v>240</v>
      </c>
      <c r="L10" s="816">
        <v>77.453000000000003</v>
      </c>
      <c r="M10" s="817"/>
      <c r="N10" s="816">
        <v>77.879000000000005</v>
      </c>
      <c r="O10" s="817"/>
      <c r="P10" s="810">
        <f t="shared" si="0"/>
        <v>426.00000000000193</v>
      </c>
      <c r="Q10" s="811"/>
      <c r="R10" s="141" t="s">
        <v>54</v>
      </c>
      <c r="S10" s="141" t="s">
        <v>54</v>
      </c>
      <c r="T10" s="141"/>
      <c r="U10" s="443"/>
      <c r="V10" s="443"/>
      <c r="W10" s="443"/>
      <c r="X10" s="443"/>
      <c r="Y10" s="416"/>
    </row>
    <row r="11" spans="1:28" ht="46.5" customHeight="1" x14ac:dyDescent="0.35">
      <c r="A11" s="806">
        <v>6</v>
      </c>
      <c r="B11" s="806">
        <v>6</v>
      </c>
      <c r="C11" s="806">
        <v>0.8</v>
      </c>
      <c r="D11" s="807">
        <f t="shared" si="1"/>
        <v>0.625</v>
      </c>
      <c r="E11" s="807">
        <f t="shared" ref="E11" si="3">E10+B11+D11</f>
        <v>51.770833333333329</v>
      </c>
      <c r="F11" s="858">
        <f t="shared" si="2"/>
        <v>743</v>
      </c>
      <c r="G11" s="806">
        <v>50</v>
      </c>
      <c r="H11" s="891"/>
      <c r="I11" s="837" t="s">
        <v>23</v>
      </c>
      <c r="J11" s="442" t="s">
        <v>150</v>
      </c>
      <c r="K11" s="442" t="s">
        <v>183</v>
      </c>
      <c r="L11" s="812">
        <v>4.4858000000000002</v>
      </c>
      <c r="M11" s="813"/>
      <c r="N11" s="812">
        <v>4.8404999999999996</v>
      </c>
      <c r="O11" s="813"/>
      <c r="P11" s="888">
        <f t="shared" si="0"/>
        <v>354.69999999999936</v>
      </c>
      <c r="Q11" s="889"/>
      <c r="R11" s="461"/>
      <c r="S11" s="216" t="s">
        <v>54</v>
      </c>
      <c r="T11" s="442"/>
      <c r="U11" s="142"/>
      <c r="V11" s="142"/>
      <c r="W11" s="142"/>
      <c r="X11" s="142"/>
      <c r="Y11" s="460" t="s">
        <v>267</v>
      </c>
    </row>
    <row r="12" spans="1:28" ht="46.5" customHeight="1" x14ac:dyDescent="0.35">
      <c r="A12" s="742"/>
      <c r="B12" s="742"/>
      <c r="C12" s="742"/>
      <c r="D12" s="789"/>
      <c r="E12" s="789"/>
      <c r="F12" s="791"/>
      <c r="G12" s="742"/>
      <c r="H12" s="892"/>
      <c r="I12" s="801"/>
      <c r="J12" s="440" t="s">
        <v>151</v>
      </c>
      <c r="K12" s="440" t="s">
        <v>240</v>
      </c>
      <c r="L12" s="814">
        <v>5.9158999999999997</v>
      </c>
      <c r="M12" s="815"/>
      <c r="N12" s="814">
        <v>6.2175000000000002</v>
      </c>
      <c r="O12" s="815"/>
      <c r="P12" s="740">
        <f t="shared" si="0"/>
        <v>301.60000000000053</v>
      </c>
      <c r="Q12" s="740"/>
      <c r="R12" s="167" t="s">
        <v>54</v>
      </c>
      <c r="S12" s="167" t="s">
        <v>54</v>
      </c>
      <c r="T12" s="167"/>
      <c r="U12" s="440"/>
      <c r="V12" s="440"/>
      <c r="W12" s="440"/>
      <c r="X12" s="440"/>
      <c r="Y12" s="444"/>
    </row>
    <row r="13" spans="1:28" ht="46.5" customHeight="1" thickBot="1" x14ac:dyDescent="0.4">
      <c r="A13" s="743"/>
      <c r="B13" s="743"/>
      <c r="C13" s="743"/>
      <c r="D13" s="790"/>
      <c r="E13" s="790"/>
      <c r="F13" s="792"/>
      <c r="G13" s="743"/>
      <c r="H13" s="893"/>
      <c r="I13" s="802"/>
      <c r="J13" s="441" t="s">
        <v>179</v>
      </c>
      <c r="K13" s="441"/>
      <c r="L13" s="810">
        <v>10.2338</v>
      </c>
      <c r="M13" s="811"/>
      <c r="N13" s="810">
        <v>10.888999999999999</v>
      </c>
      <c r="O13" s="811"/>
      <c r="P13" s="734">
        <f t="shared" si="0"/>
        <v>655.19999999999891</v>
      </c>
      <c r="Q13" s="735"/>
      <c r="R13" s="141"/>
      <c r="S13" s="141" t="s">
        <v>14</v>
      </c>
      <c r="T13" s="168"/>
      <c r="U13" s="441"/>
      <c r="V13" s="441"/>
      <c r="W13" s="441"/>
      <c r="X13" s="441"/>
      <c r="Y13" s="445"/>
    </row>
    <row r="14" spans="1:28" ht="46.5" customHeight="1" x14ac:dyDescent="0.35">
      <c r="A14" s="806">
        <v>7</v>
      </c>
      <c r="B14" s="806">
        <v>6</v>
      </c>
      <c r="C14" s="806">
        <v>0.8</v>
      </c>
      <c r="D14" s="807">
        <f>(F14-F11)/C14/60</f>
        <v>0.41666666666666669</v>
      </c>
      <c r="E14" s="807">
        <f>E11+B14+D14</f>
        <v>58.187499999999993</v>
      </c>
      <c r="F14" s="890">
        <f>G11-G14+F11</f>
        <v>763</v>
      </c>
      <c r="G14" s="823">
        <v>30</v>
      </c>
      <c r="H14" s="824"/>
      <c r="I14" s="834" t="s">
        <v>27</v>
      </c>
      <c r="J14" s="451" t="s">
        <v>150</v>
      </c>
      <c r="K14" s="451" t="s">
        <v>183</v>
      </c>
      <c r="L14" s="812">
        <v>5.0076999999999998</v>
      </c>
      <c r="M14" s="813"/>
      <c r="N14" s="812">
        <v>5.1787999999999998</v>
      </c>
      <c r="O14" s="813"/>
      <c r="P14" s="888">
        <f t="shared" si="0"/>
        <v>171.10000000000002</v>
      </c>
      <c r="Q14" s="889"/>
      <c r="R14" s="461"/>
      <c r="S14" s="216" t="s">
        <v>54</v>
      </c>
      <c r="T14" s="451"/>
      <c r="U14" s="169"/>
      <c r="V14" s="169"/>
      <c r="W14" s="142"/>
      <c r="X14" s="169"/>
      <c r="Y14" s="459" t="s">
        <v>265</v>
      </c>
    </row>
    <row r="15" spans="1:28" ht="46.5" customHeight="1" x14ac:dyDescent="0.35">
      <c r="A15" s="742"/>
      <c r="B15" s="742"/>
      <c r="C15" s="742"/>
      <c r="D15" s="789"/>
      <c r="E15" s="789"/>
      <c r="F15" s="821"/>
      <c r="G15" s="740"/>
      <c r="H15" s="825"/>
      <c r="I15" s="835"/>
      <c r="J15" s="440" t="s">
        <v>151</v>
      </c>
      <c r="K15" s="440" t="s">
        <v>240</v>
      </c>
      <c r="L15" s="814">
        <v>6.5075000000000003</v>
      </c>
      <c r="M15" s="815"/>
      <c r="N15" s="814">
        <v>6.6509999999999998</v>
      </c>
      <c r="O15" s="815"/>
      <c r="P15" s="740">
        <f t="shared" si="0"/>
        <v>143.49999999999952</v>
      </c>
      <c r="Q15" s="740"/>
      <c r="R15" s="167" t="s">
        <v>54</v>
      </c>
      <c r="S15" s="167" t="s">
        <v>54</v>
      </c>
      <c r="T15" s="167"/>
      <c r="U15" s="440"/>
      <c r="V15" s="440"/>
      <c r="W15" s="440"/>
      <c r="X15" s="440"/>
      <c r="Y15" s="444"/>
    </row>
    <row r="16" spans="1:28" ht="46.5" customHeight="1" thickBot="1" x14ac:dyDescent="0.4">
      <c r="A16" s="743"/>
      <c r="B16" s="743"/>
      <c r="C16" s="743"/>
      <c r="D16" s="790"/>
      <c r="E16" s="790"/>
      <c r="F16" s="822"/>
      <c r="G16" s="741"/>
      <c r="H16" s="826"/>
      <c r="I16" s="836"/>
      <c r="J16" s="441" t="s">
        <v>179</v>
      </c>
      <c r="K16" s="441"/>
      <c r="L16" s="810">
        <v>11.252800000000001</v>
      </c>
      <c r="M16" s="811"/>
      <c r="N16" s="810">
        <v>11.5655</v>
      </c>
      <c r="O16" s="811"/>
      <c r="P16" s="734">
        <f t="shared" si="0"/>
        <v>312.69999999999953</v>
      </c>
      <c r="Q16" s="735"/>
      <c r="R16" s="141"/>
      <c r="S16" s="141"/>
      <c r="T16" s="168"/>
      <c r="U16" s="441"/>
      <c r="V16" s="441"/>
      <c r="W16" s="441"/>
      <c r="X16" s="441"/>
      <c r="Y16" s="445"/>
    </row>
    <row r="17" spans="1:27" ht="47.9" customHeight="1" thickBot="1" x14ac:dyDescent="0.6">
      <c r="A17" s="24" t="s">
        <v>10</v>
      </c>
      <c r="B17" s="439">
        <f>SUM(B6:B16)</f>
        <v>42</v>
      </c>
      <c r="C17" s="439"/>
      <c r="D17" s="455">
        <f>SUM(D6:D16)</f>
        <v>16.187500000000004</v>
      </c>
      <c r="E17" s="455"/>
      <c r="F17" s="144">
        <f>G6</f>
        <v>800</v>
      </c>
      <c r="G17" s="827" t="s">
        <v>18</v>
      </c>
      <c r="H17" s="828"/>
      <c r="I17" s="828"/>
      <c r="J17" s="22"/>
      <c r="K17" s="97" t="s">
        <v>103</v>
      </c>
      <c r="L17" s="838" t="s">
        <v>102</v>
      </c>
      <c r="M17" s="838"/>
      <c r="N17" s="838" t="s">
        <v>53</v>
      </c>
      <c r="O17" s="838"/>
    </row>
    <row r="18" spans="1:27" ht="48.75" customHeight="1" x14ac:dyDescent="0.35">
      <c r="A18" s="26" t="s">
        <v>12</v>
      </c>
      <c r="B18" s="440">
        <f>B17/60</f>
        <v>0.7</v>
      </c>
      <c r="C18" s="440"/>
      <c r="D18" s="454">
        <f>D17/60</f>
        <v>0.26979166666666671</v>
      </c>
      <c r="E18" s="454"/>
      <c r="F18" s="27"/>
      <c r="J18" s="95" t="s">
        <v>145</v>
      </c>
      <c r="K18" s="30">
        <v>44236</v>
      </c>
      <c r="L18" s="829">
        <v>0.51736111111111105</v>
      </c>
      <c r="M18" s="830"/>
      <c r="N18" s="803">
        <v>0.35069444444444442</v>
      </c>
      <c r="O18" s="803"/>
      <c r="AA18">
        <v>1</v>
      </c>
    </row>
    <row r="19" spans="1:27" ht="55.4" customHeight="1" x14ac:dyDescent="0.35">
      <c r="J19" s="96" t="s">
        <v>45</v>
      </c>
      <c r="K19" s="30">
        <v>44236</v>
      </c>
      <c r="L19" s="762">
        <v>0.57291666666666663</v>
      </c>
      <c r="M19" s="766"/>
      <c r="N19" s="765">
        <v>0.40625</v>
      </c>
      <c r="O19" s="765"/>
    </row>
    <row r="20" spans="1:27" ht="50.25" customHeight="1" x14ac:dyDescent="0.35">
      <c r="A20" s="1"/>
      <c r="B20" s="1"/>
      <c r="C20" s="1"/>
      <c r="D20" s="1"/>
      <c r="E20" s="1"/>
      <c r="F20" s="1"/>
      <c r="G20" s="1"/>
      <c r="J20" s="96" t="s">
        <v>46</v>
      </c>
      <c r="K20" s="30">
        <v>44236</v>
      </c>
      <c r="L20" s="762">
        <v>0.64583333333333337</v>
      </c>
      <c r="M20" s="766"/>
      <c r="N20" s="765">
        <v>0.47916666666666669</v>
      </c>
      <c r="O20" s="765"/>
    </row>
    <row r="21" spans="1:27" ht="50.25" customHeight="1" x14ac:dyDescent="0.35">
      <c r="A21" s="805" t="s">
        <v>52</v>
      </c>
      <c r="B21" s="805"/>
      <c r="C21" s="805"/>
      <c r="D21" s="805"/>
      <c r="E21" s="805"/>
      <c r="F21" s="805"/>
      <c r="J21" s="96" t="s">
        <v>47</v>
      </c>
      <c r="K21" s="30">
        <v>44236</v>
      </c>
      <c r="L21" s="762">
        <v>0.68402777777777779</v>
      </c>
      <c r="M21" s="766"/>
      <c r="N21" s="765">
        <v>0.51736111111111105</v>
      </c>
      <c r="O21" s="765"/>
    </row>
    <row r="22" spans="1:27" ht="20" x14ac:dyDescent="0.4">
      <c r="A22" s="17" t="s">
        <v>51</v>
      </c>
      <c r="B22" s="17"/>
      <c r="C22" s="17"/>
      <c r="F22" s="22">
        <v>8</v>
      </c>
      <c r="G22" s="20" t="s">
        <v>11</v>
      </c>
      <c r="J22" s="17"/>
      <c r="K22" s="19"/>
    </row>
    <row r="23" spans="1:27" ht="60" customHeight="1" x14ac:dyDescent="0.4">
      <c r="F23" s="17"/>
      <c r="G23" s="17"/>
      <c r="J23" s="10" t="s">
        <v>50</v>
      </c>
      <c r="K23" s="31">
        <f>E14</f>
        <v>58.187499999999993</v>
      </c>
    </row>
    <row r="24" spans="1:27" ht="78" customHeight="1" x14ac:dyDescent="0.4">
      <c r="A24" s="390"/>
      <c r="B24" s="418"/>
      <c r="F24" s="17"/>
      <c r="G24" s="17"/>
      <c r="H24" s="17"/>
      <c r="I24" s="15"/>
      <c r="J24" s="10" t="s">
        <v>49</v>
      </c>
      <c r="K24" s="31">
        <f>D17+B14*A14</f>
        <v>58.1875</v>
      </c>
    </row>
    <row r="25" spans="1:27" ht="57.75" customHeight="1" x14ac:dyDescent="0.4">
      <c r="A25" s="19"/>
      <c r="B25" s="20"/>
      <c r="C25" s="17"/>
      <c r="I25" s="9"/>
      <c r="J25" s="1"/>
      <c r="K25" s="1"/>
      <c r="L25" s="1"/>
      <c r="M25" s="2"/>
      <c r="N25" s="2"/>
    </row>
    <row r="26" spans="1:27" ht="20" x14ac:dyDescent="0.4">
      <c r="C26" s="17"/>
      <c r="D26" s="17"/>
      <c r="E26" s="17" t="s">
        <v>14</v>
      </c>
      <c r="F26" s="17"/>
      <c r="I26" s="15"/>
      <c r="J26" s="1"/>
      <c r="K26" s="1"/>
      <c r="L26" s="1"/>
      <c r="M26" s="2"/>
      <c r="N26" s="2"/>
    </row>
    <row r="27" spans="1:27" ht="20" x14ac:dyDescent="0.4">
      <c r="A27" s="19"/>
      <c r="B27" s="20"/>
      <c r="C27" s="17"/>
      <c r="D27" s="17"/>
      <c r="E27" s="23"/>
      <c r="F27" s="17"/>
      <c r="G27" s="17"/>
      <c r="H27" s="17"/>
      <c r="I27" s="15"/>
      <c r="J27" s="1"/>
      <c r="K27" s="1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7" ht="20" x14ac:dyDescent="0.4">
      <c r="A28" s="19"/>
      <c r="B28" s="20"/>
      <c r="C28" s="17"/>
      <c r="D28" s="17"/>
      <c r="E28" s="17"/>
      <c r="F28" s="17"/>
      <c r="G28" s="17"/>
      <c r="H28" s="17"/>
      <c r="I28" s="15"/>
      <c r="J28" s="1"/>
      <c r="K28" s="1"/>
      <c r="L28" s="1"/>
      <c r="M28" s="2"/>
      <c r="N28" s="2"/>
    </row>
    <row r="29" spans="1:27" ht="18.5" x14ac:dyDescent="0.45">
      <c r="A29" s="16"/>
      <c r="B29" s="16"/>
      <c r="C29" s="16"/>
      <c r="D29" s="16"/>
      <c r="E29" s="16"/>
      <c r="F29" s="16"/>
      <c r="G29" s="16"/>
      <c r="H29" s="16"/>
      <c r="I29" s="16"/>
    </row>
  </sheetData>
  <mergeCells count="67">
    <mergeCell ref="M3:P3"/>
    <mergeCell ref="L5:M5"/>
    <mergeCell ref="N5:O5"/>
    <mergeCell ref="P5:Q5"/>
    <mergeCell ref="L6:M6"/>
    <mergeCell ref="N6:O6"/>
    <mergeCell ref="P6:Q6"/>
    <mergeCell ref="L7:M7"/>
    <mergeCell ref="N7:O7"/>
    <mergeCell ref="P7:Q7"/>
    <mergeCell ref="L8:M8"/>
    <mergeCell ref="N8:O8"/>
    <mergeCell ref="P8:Q8"/>
    <mergeCell ref="L9:M9"/>
    <mergeCell ref="N9:O9"/>
    <mergeCell ref="P9:Q9"/>
    <mergeCell ref="L10:M10"/>
    <mergeCell ref="N10:O10"/>
    <mergeCell ref="P10:Q10"/>
    <mergeCell ref="L12:M12"/>
    <mergeCell ref="N12:O12"/>
    <mergeCell ref="P12:Q12"/>
    <mergeCell ref="L13:M13"/>
    <mergeCell ref="A11:A13"/>
    <mergeCell ref="B11:B13"/>
    <mergeCell ref="C11:C13"/>
    <mergeCell ref="D11:D13"/>
    <mergeCell ref="E11:E13"/>
    <mergeCell ref="F11:F13"/>
    <mergeCell ref="N13:O13"/>
    <mergeCell ref="P13:Q13"/>
    <mergeCell ref="I11:I13"/>
    <mergeCell ref="L11:M11"/>
    <mergeCell ref="N11:O11"/>
    <mergeCell ref="P11:Q11"/>
    <mergeCell ref="A14:A16"/>
    <mergeCell ref="B14:B16"/>
    <mergeCell ref="C14:C16"/>
    <mergeCell ref="D14:D16"/>
    <mergeCell ref="E14:E16"/>
    <mergeCell ref="F14:F16"/>
    <mergeCell ref="G14:G16"/>
    <mergeCell ref="H14:H16"/>
    <mergeCell ref="G11:G13"/>
    <mergeCell ref="H11:H13"/>
    <mergeCell ref="P14:Q14"/>
    <mergeCell ref="L15:M15"/>
    <mergeCell ref="N15:O15"/>
    <mergeCell ref="P15:Q15"/>
    <mergeCell ref="L16:M16"/>
    <mergeCell ref="N16:O16"/>
    <mergeCell ref="P16:Q16"/>
    <mergeCell ref="L19:M19"/>
    <mergeCell ref="N19:O19"/>
    <mergeCell ref="I14:I16"/>
    <mergeCell ref="L14:M14"/>
    <mergeCell ref="N14:O14"/>
    <mergeCell ref="G17:I17"/>
    <mergeCell ref="L17:M17"/>
    <mergeCell ref="N17:O17"/>
    <mergeCell ref="L18:M18"/>
    <mergeCell ref="N18:O18"/>
    <mergeCell ref="L20:M20"/>
    <mergeCell ref="N20:O20"/>
    <mergeCell ref="A21:F21"/>
    <mergeCell ref="L21:M21"/>
    <mergeCell ref="N21:O21"/>
  </mergeCells>
  <pageMargins left="0.25" right="0.25" top="0.75" bottom="0.75" header="0.3" footer="0.3"/>
  <pageSetup paperSize="9" scale="3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9"/>
  <sheetViews>
    <sheetView topLeftCell="A8" zoomScale="34" zoomScaleNormal="34" workbookViewId="0">
      <selection activeCell="X19" sqref="X19"/>
    </sheetView>
  </sheetViews>
  <sheetFormatPr defaultColWidth="11.453125" defaultRowHeight="14.5" x14ac:dyDescent="0.35"/>
  <cols>
    <col min="1" max="1" width="12.08984375" customWidth="1"/>
    <col min="2" max="2" width="13" customWidth="1"/>
    <col min="3" max="3" width="15.453125" customWidth="1"/>
    <col min="4" max="5" width="14.453125" customWidth="1"/>
    <col min="6" max="6" width="19.90625" customWidth="1"/>
    <col min="7" max="7" width="13.453125" customWidth="1"/>
    <col min="8" max="8" width="13.90625" customWidth="1"/>
    <col min="9" max="9" width="14" customWidth="1"/>
    <col min="10" max="10" width="21.08984375" customWidth="1"/>
    <col min="11" max="11" width="21.453125" customWidth="1"/>
    <col min="12" max="12" width="18" customWidth="1"/>
    <col min="13" max="13" width="20.90625" customWidth="1"/>
    <col min="14" max="14" width="28.453125" customWidth="1"/>
    <col min="15" max="15" width="19" customWidth="1"/>
    <col min="16" max="25" width="9.08984375" customWidth="1"/>
    <col min="26" max="26" width="102.08984375" bestFit="1" customWidth="1"/>
    <col min="27" max="27" width="10.453125" customWidth="1"/>
    <col min="28" max="28" width="10.453125" bestFit="1" customWidth="1"/>
    <col min="29" max="29" width="34.453125" customWidth="1"/>
  </cols>
  <sheetData>
    <row r="1" spans="1:29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</row>
    <row r="2" spans="1:29" ht="33.5" x14ac:dyDescent="0.65">
      <c r="A2" s="84" t="s">
        <v>36</v>
      </c>
      <c r="B2" s="83"/>
      <c r="C2" s="98" t="s">
        <v>270</v>
      </c>
      <c r="D2" s="83"/>
      <c r="H2" s="91" t="s">
        <v>96</v>
      </c>
      <c r="I2" s="193"/>
      <c r="J2" s="554">
        <v>-46.12</v>
      </c>
      <c r="K2" s="89" t="s">
        <v>277</v>
      </c>
      <c r="L2" s="1"/>
      <c r="M2" s="2"/>
      <c r="N2" s="2"/>
      <c r="O2" s="2"/>
    </row>
    <row r="3" spans="1:29" ht="33.5" x14ac:dyDescent="0.75">
      <c r="A3" s="119" t="s">
        <v>136</v>
      </c>
      <c r="B3" s="120"/>
      <c r="C3" s="121">
        <v>2164</v>
      </c>
      <c r="D3" s="122" t="s">
        <v>11</v>
      </c>
      <c r="E3" s="1"/>
      <c r="F3" s="1"/>
      <c r="G3" s="1"/>
      <c r="H3" s="92" t="s">
        <v>97</v>
      </c>
      <c r="I3" s="193"/>
      <c r="J3" s="555">
        <v>51.889000000000003</v>
      </c>
      <c r="K3" s="89" t="s">
        <v>100</v>
      </c>
      <c r="L3" s="1"/>
      <c r="M3" s="880"/>
      <c r="N3" s="880"/>
      <c r="O3" s="880"/>
    </row>
    <row r="4" spans="1:29" ht="28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Q4" s="778" t="s">
        <v>38</v>
      </c>
      <c r="R4" s="779"/>
      <c r="S4" s="780"/>
      <c r="T4" s="781" t="s">
        <v>43</v>
      </c>
      <c r="U4" s="782"/>
      <c r="V4" s="782"/>
      <c r="W4" s="783"/>
      <c r="X4" s="447"/>
      <c r="Y4" s="447"/>
      <c r="Z4" s="13" t="s">
        <v>48</v>
      </c>
    </row>
    <row r="5" spans="1:29" ht="63" thickBot="1" x14ac:dyDescent="0.4">
      <c r="A5" s="10" t="s">
        <v>98</v>
      </c>
      <c r="B5" s="10" t="s">
        <v>0</v>
      </c>
      <c r="C5" s="10" t="s">
        <v>17</v>
      </c>
      <c r="D5" s="10" t="s">
        <v>1</v>
      </c>
      <c r="E5" s="10" t="s">
        <v>2</v>
      </c>
      <c r="F5" s="12" t="s">
        <v>3</v>
      </c>
      <c r="G5" s="360" t="s">
        <v>4</v>
      </c>
      <c r="H5" s="360" t="s">
        <v>5</v>
      </c>
      <c r="I5" s="291" t="s">
        <v>16</v>
      </c>
      <c r="J5" s="290" t="s">
        <v>15</v>
      </c>
      <c r="K5" s="290" t="s">
        <v>66</v>
      </c>
      <c r="L5" s="873" t="s">
        <v>143</v>
      </c>
      <c r="M5" s="874"/>
      <c r="N5" s="291" t="s">
        <v>144</v>
      </c>
      <c r="O5" s="292" t="s">
        <v>8</v>
      </c>
      <c r="P5" s="292" t="s">
        <v>137</v>
      </c>
      <c r="Q5" s="293" t="s">
        <v>42</v>
      </c>
      <c r="R5" s="293" t="s">
        <v>37</v>
      </c>
      <c r="S5" s="293" t="s">
        <v>44</v>
      </c>
      <c r="T5" s="294" t="s">
        <v>41</v>
      </c>
      <c r="U5" s="294" t="s">
        <v>39</v>
      </c>
      <c r="V5" s="294" t="s">
        <v>40</v>
      </c>
      <c r="W5" s="294" t="s">
        <v>42</v>
      </c>
      <c r="X5" s="294" t="s">
        <v>178</v>
      </c>
      <c r="Y5" s="294" t="s">
        <v>233</v>
      </c>
      <c r="Z5" s="295"/>
    </row>
    <row r="6" spans="1:29" ht="57" customHeight="1" thickBot="1" x14ac:dyDescent="0.65">
      <c r="A6" s="443">
        <v>1</v>
      </c>
      <c r="B6" s="443">
        <v>5</v>
      </c>
      <c r="C6" s="443">
        <v>1</v>
      </c>
      <c r="D6" s="449">
        <f>ABS(F6)/C6/60</f>
        <v>0.13333333333333333</v>
      </c>
      <c r="E6" s="449">
        <f>B6+D6</f>
        <v>5.1333333333333337</v>
      </c>
      <c r="F6" s="229">
        <v>-8</v>
      </c>
      <c r="G6" s="456">
        <f>C3-50</f>
        <v>2114</v>
      </c>
      <c r="H6" s="443"/>
      <c r="I6" s="450" t="s">
        <v>69</v>
      </c>
      <c r="J6" s="443" t="s">
        <v>135</v>
      </c>
      <c r="K6" s="443" t="s">
        <v>64</v>
      </c>
      <c r="L6" s="300">
        <v>6.8071999999999999</v>
      </c>
      <c r="M6" s="300"/>
      <c r="N6" s="300">
        <v>7.5182000000000002</v>
      </c>
      <c r="O6" s="359">
        <f>(N6-L6)*1000</f>
        <v>711.00000000000034</v>
      </c>
      <c r="P6" s="466" t="s">
        <v>205</v>
      </c>
      <c r="Q6" s="185" t="s">
        <v>263</v>
      </c>
      <c r="R6" s="180"/>
      <c r="S6" s="180"/>
      <c r="T6" s="180"/>
      <c r="U6" s="180"/>
      <c r="V6" s="180"/>
      <c r="W6" s="185"/>
      <c r="X6" s="188"/>
      <c r="Y6" s="185"/>
      <c r="Z6" s="172" t="s">
        <v>271</v>
      </c>
      <c r="AC6" s="120">
        <f>SUM(O6,O9:O14,O17:O22)</f>
        <v>10424.29999999999</v>
      </c>
    </row>
    <row r="7" spans="1:29" ht="53.9" customHeight="1" x14ac:dyDescent="0.35">
      <c r="A7" s="742">
        <v>2</v>
      </c>
      <c r="B7" s="742">
        <v>5</v>
      </c>
      <c r="C7" s="806">
        <v>1</v>
      </c>
      <c r="D7" s="807">
        <f>(F7-F6)/C7/60</f>
        <v>0.33333333333333331</v>
      </c>
      <c r="E7" s="789">
        <f>E6+B7+D7</f>
        <v>10.466666666666667</v>
      </c>
      <c r="F7" s="858">
        <f>G21-G7+F21</f>
        <v>12</v>
      </c>
      <c r="G7" s="862">
        <f>G6-20</f>
        <v>2094</v>
      </c>
      <c r="H7" s="742"/>
      <c r="I7" s="759" t="s">
        <v>23</v>
      </c>
      <c r="J7" s="439" t="s">
        <v>150</v>
      </c>
      <c r="K7" s="175" t="s">
        <v>64</v>
      </c>
      <c r="L7" s="297">
        <v>4.8404999999999996</v>
      </c>
      <c r="M7" s="364"/>
      <c r="N7" s="288">
        <v>5.3490000000000002</v>
      </c>
      <c r="O7" s="359">
        <f t="shared" ref="O7:O22" si="0">(N7-L7)*1000</f>
        <v>508.50000000000063</v>
      </c>
      <c r="P7" s="876"/>
      <c r="Q7" s="181"/>
      <c r="R7" s="181"/>
      <c r="S7" s="181"/>
      <c r="T7" s="181"/>
      <c r="U7" s="340" t="s">
        <v>263</v>
      </c>
      <c r="V7" s="340"/>
      <c r="W7" s="298"/>
      <c r="X7" s="183" t="s">
        <v>263</v>
      </c>
      <c r="Y7" s="298"/>
      <c r="Z7" s="370" t="s">
        <v>264</v>
      </c>
    </row>
    <row r="8" spans="1:29" ht="57.75" customHeight="1" x14ac:dyDescent="0.35">
      <c r="A8" s="742"/>
      <c r="B8" s="742"/>
      <c r="C8" s="742"/>
      <c r="D8" s="789"/>
      <c r="E8" s="789"/>
      <c r="F8" s="791"/>
      <c r="G8" s="742"/>
      <c r="H8" s="742"/>
      <c r="I8" s="760"/>
      <c r="J8" s="440" t="s">
        <v>151</v>
      </c>
      <c r="K8" s="176" t="s">
        <v>183</v>
      </c>
      <c r="L8" s="287">
        <v>6.2176</v>
      </c>
      <c r="M8" s="363"/>
      <c r="N8" s="287">
        <v>7.1234999999999999</v>
      </c>
      <c r="O8" s="362">
        <f t="shared" si="0"/>
        <v>905.9</v>
      </c>
      <c r="P8" s="876"/>
      <c r="Q8" s="183"/>
      <c r="R8" s="183"/>
      <c r="S8" s="183"/>
      <c r="T8" s="183"/>
      <c r="U8" s="183"/>
      <c r="V8" s="183" t="s">
        <v>263</v>
      </c>
      <c r="W8" s="183"/>
      <c r="X8" s="183"/>
      <c r="Y8" s="183"/>
      <c r="Z8" s="368"/>
    </row>
    <row r="9" spans="1:29" ht="64.5" customHeight="1" thickBot="1" x14ac:dyDescent="0.4">
      <c r="A9" s="743"/>
      <c r="B9" s="743"/>
      <c r="C9" s="743"/>
      <c r="D9" s="790"/>
      <c r="E9" s="790"/>
      <c r="F9" s="792"/>
      <c r="G9" s="743"/>
      <c r="H9" s="743"/>
      <c r="I9" s="761"/>
      <c r="J9" s="441" t="s">
        <v>179</v>
      </c>
      <c r="K9" s="441"/>
      <c r="L9" s="299">
        <v>10.888999999999999</v>
      </c>
      <c r="M9" s="365"/>
      <c r="N9" s="299">
        <v>12.300800000000001</v>
      </c>
      <c r="O9" s="366">
        <f t="shared" si="0"/>
        <v>1411.8000000000013</v>
      </c>
      <c r="P9" s="877"/>
      <c r="Q9" s="180"/>
      <c r="R9" s="180"/>
      <c r="S9" s="180"/>
      <c r="T9" s="180"/>
      <c r="U9" s="180"/>
      <c r="V9" s="180"/>
      <c r="W9" s="180"/>
      <c r="X9" s="180"/>
      <c r="Y9" s="185"/>
      <c r="Z9" s="171"/>
    </row>
    <row r="10" spans="1:29" ht="65.150000000000006" customHeight="1" thickBot="1" x14ac:dyDescent="0.4">
      <c r="A10" s="443">
        <v>3</v>
      </c>
      <c r="B10" s="443">
        <v>5</v>
      </c>
      <c r="C10" s="443">
        <v>1</v>
      </c>
      <c r="D10" s="449">
        <f>(F10-F7)/C10/60</f>
        <v>2.4</v>
      </c>
      <c r="E10" s="210">
        <f>E7+B10+D10</f>
        <v>17.866666666666667</v>
      </c>
      <c r="F10" s="229">
        <f>G6-G10+F6</f>
        <v>156</v>
      </c>
      <c r="G10" s="456">
        <v>1950</v>
      </c>
      <c r="H10" s="443"/>
      <c r="I10" s="446" t="s">
        <v>19</v>
      </c>
      <c r="J10" s="443" t="s">
        <v>126</v>
      </c>
      <c r="K10" s="443" t="s">
        <v>64</v>
      </c>
      <c r="L10" s="300">
        <v>30.550999999999998</v>
      </c>
      <c r="M10" s="300"/>
      <c r="N10" s="300">
        <v>31.32</v>
      </c>
      <c r="O10" s="359">
        <f t="shared" si="0"/>
        <v>769.00000000000193</v>
      </c>
      <c r="P10" s="462" t="s">
        <v>205</v>
      </c>
      <c r="Q10" s="185" t="s">
        <v>263</v>
      </c>
      <c r="R10" s="180"/>
      <c r="S10" s="180"/>
      <c r="T10" s="180"/>
      <c r="U10" s="180"/>
      <c r="V10" s="180"/>
      <c r="W10" s="180"/>
      <c r="X10" s="180"/>
      <c r="Y10" s="185"/>
      <c r="Z10" s="172" t="s">
        <v>268</v>
      </c>
    </row>
    <row r="11" spans="1:29" ht="66.75" customHeight="1" thickBot="1" x14ac:dyDescent="0.4">
      <c r="A11" s="443">
        <v>4</v>
      </c>
      <c r="B11" s="443">
        <v>5</v>
      </c>
      <c r="C11" s="443">
        <v>1</v>
      </c>
      <c r="D11" s="477">
        <f t="shared" ref="D11:D14" si="1">(F11-F8)/C11/60</f>
        <v>3.4333333333333331</v>
      </c>
      <c r="E11" s="449">
        <f>B11+D11+E10</f>
        <v>26.3</v>
      </c>
      <c r="F11" s="229">
        <f>G14-G11+F14</f>
        <v>206</v>
      </c>
      <c r="G11" s="456">
        <v>1900</v>
      </c>
      <c r="H11" s="443"/>
      <c r="I11" s="446" t="s">
        <v>70</v>
      </c>
      <c r="J11" s="443" t="s">
        <v>130</v>
      </c>
      <c r="K11" s="443" t="s">
        <v>64</v>
      </c>
      <c r="L11" s="300">
        <v>11.611000000000001</v>
      </c>
      <c r="M11" s="300"/>
      <c r="N11" s="300">
        <v>12.641999999999999</v>
      </c>
      <c r="O11" s="359">
        <f t="shared" si="0"/>
        <v>1030.9999999999989</v>
      </c>
      <c r="P11" s="458"/>
      <c r="Q11" s="180"/>
      <c r="R11" s="180"/>
      <c r="S11" s="180"/>
      <c r="T11" s="180"/>
      <c r="U11" s="180" t="s">
        <v>263</v>
      </c>
      <c r="V11" s="180"/>
      <c r="W11" s="180"/>
      <c r="X11" s="188" t="s">
        <v>263</v>
      </c>
      <c r="Y11" s="185"/>
      <c r="Z11" s="172" t="s">
        <v>272</v>
      </c>
    </row>
    <row r="12" spans="1:29" ht="70.5" customHeight="1" thickBot="1" x14ac:dyDescent="0.4">
      <c r="A12" s="443">
        <v>5</v>
      </c>
      <c r="B12" s="443">
        <v>5</v>
      </c>
      <c r="C12" s="443">
        <v>1</v>
      </c>
      <c r="D12" s="477">
        <f t="shared" si="1"/>
        <v>5.9333333333333336</v>
      </c>
      <c r="E12" s="449">
        <f>B12+D12+E11</f>
        <v>37.233333333333334</v>
      </c>
      <c r="F12" s="229">
        <f>G10-G12+F10</f>
        <v>356</v>
      </c>
      <c r="G12" s="456">
        <v>1750</v>
      </c>
      <c r="H12" s="443"/>
      <c r="I12" s="443" t="s">
        <v>31</v>
      </c>
      <c r="J12" s="443" t="s">
        <v>127</v>
      </c>
      <c r="K12" s="443" t="s">
        <v>64</v>
      </c>
      <c r="L12" s="300">
        <v>51.027999999999999</v>
      </c>
      <c r="M12" s="299"/>
      <c r="N12" s="300">
        <v>51.906999999999996</v>
      </c>
      <c r="O12" s="359">
        <f t="shared" si="0"/>
        <v>878.99999999999773</v>
      </c>
      <c r="P12" s="464" t="s">
        <v>205</v>
      </c>
      <c r="Q12" s="185" t="s">
        <v>263</v>
      </c>
      <c r="R12" s="180"/>
      <c r="S12" s="180"/>
      <c r="T12" s="180"/>
      <c r="U12" s="180"/>
      <c r="V12" s="180"/>
      <c r="W12" s="180"/>
      <c r="X12" s="185"/>
      <c r="Y12" s="185"/>
      <c r="Z12" s="172"/>
    </row>
    <row r="13" spans="1:29" ht="80.900000000000006" customHeight="1" thickBot="1" x14ac:dyDescent="0.4">
      <c r="A13" s="443">
        <v>6</v>
      </c>
      <c r="B13" s="443">
        <v>5</v>
      </c>
      <c r="C13" s="443">
        <v>1</v>
      </c>
      <c r="D13" s="477">
        <f t="shared" si="1"/>
        <v>7.5</v>
      </c>
      <c r="E13" s="449">
        <f>B13+D13+E12</f>
        <v>49.733333333333334</v>
      </c>
      <c r="F13" s="229">
        <f t="shared" ref="F13:F19" si="2">G12-G13+F12</f>
        <v>606</v>
      </c>
      <c r="G13" s="456">
        <v>1500</v>
      </c>
      <c r="H13" s="443"/>
      <c r="I13" s="443" t="s">
        <v>25</v>
      </c>
      <c r="J13" s="443" t="s">
        <v>128</v>
      </c>
      <c r="K13" s="443" t="s">
        <v>64</v>
      </c>
      <c r="L13" s="300">
        <v>34.878999999999998</v>
      </c>
      <c r="M13" s="300"/>
      <c r="N13" s="300">
        <v>35.793999999999997</v>
      </c>
      <c r="O13" s="359">
        <f t="shared" si="0"/>
        <v>914.99999999999909</v>
      </c>
      <c r="P13" s="462" t="s">
        <v>205</v>
      </c>
      <c r="Q13" s="185" t="s">
        <v>263</v>
      </c>
      <c r="R13" s="180"/>
      <c r="S13" s="180"/>
      <c r="T13" s="180"/>
      <c r="U13" s="180"/>
      <c r="V13" s="180"/>
      <c r="W13" s="180"/>
      <c r="X13" s="180"/>
      <c r="Y13" s="185"/>
      <c r="Z13" s="172" t="s">
        <v>273</v>
      </c>
    </row>
    <row r="14" spans="1:29" ht="67.5" customHeight="1" thickBot="1" x14ac:dyDescent="0.4">
      <c r="A14" s="443">
        <v>7</v>
      </c>
      <c r="B14" s="443">
        <v>5</v>
      </c>
      <c r="C14" s="443">
        <v>1</v>
      </c>
      <c r="D14" s="477">
        <f t="shared" si="1"/>
        <v>15</v>
      </c>
      <c r="E14" s="449">
        <f>B14+D14+E13</f>
        <v>69.733333333333334</v>
      </c>
      <c r="F14" s="229">
        <f t="shared" si="2"/>
        <v>1106</v>
      </c>
      <c r="G14" s="456">
        <v>1000</v>
      </c>
      <c r="H14" s="443"/>
      <c r="I14" s="457" t="s">
        <v>29</v>
      </c>
      <c r="J14" s="457" t="s">
        <v>129</v>
      </c>
      <c r="K14" s="443" t="s">
        <v>64</v>
      </c>
      <c r="L14" s="302">
        <v>52.524000000000001</v>
      </c>
      <c r="M14" s="300"/>
      <c r="N14" s="299">
        <v>53.3</v>
      </c>
      <c r="O14" s="359">
        <f t="shared" si="0"/>
        <v>775.99999999999625</v>
      </c>
      <c r="P14" s="463" t="s">
        <v>205</v>
      </c>
      <c r="Q14" s="185" t="s">
        <v>263</v>
      </c>
      <c r="R14" s="180"/>
      <c r="S14" s="180"/>
      <c r="T14" s="180"/>
      <c r="U14" s="180"/>
      <c r="V14" s="180"/>
      <c r="W14" s="180"/>
      <c r="X14" s="188"/>
      <c r="Y14" s="185"/>
      <c r="Z14" s="172" t="s">
        <v>274</v>
      </c>
    </row>
    <row r="15" spans="1:29" ht="51" customHeight="1" x14ac:dyDescent="0.35">
      <c r="A15" s="806">
        <v>8</v>
      </c>
      <c r="B15" s="806">
        <v>5</v>
      </c>
      <c r="C15" s="806">
        <v>1</v>
      </c>
      <c r="D15" s="807">
        <f>(F15-F14)/C15/60</f>
        <v>0.33333333333333331</v>
      </c>
      <c r="E15" s="807">
        <f>E14+D15+B15</f>
        <v>75.066666666666663</v>
      </c>
      <c r="F15" s="858">
        <f>G22-G15+F22</f>
        <v>1126</v>
      </c>
      <c r="G15" s="861">
        <v>980</v>
      </c>
      <c r="H15" s="806"/>
      <c r="I15" s="759" t="s">
        <v>27</v>
      </c>
      <c r="J15" s="452" t="s">
        <v>150</v>
      </c>
      <c r="K15" s="296" t="s">
        <v>64</v>
      </c>
      <c r="L15" s="288">
        <v>5.1788999999999996</v>
      </c>
      <c r="M15" s="297"/>
      <c r="N15" s="288">
        <v>5.6665000000000001</v>
      </c>
      <c r="O15" s="359">
        <f t="shared" si="0"/>
        <v>487.60000000000048</v>
      </c>
      <c r="P15" s="875"/>
      <c r="Q15" s="298"/>
      <c r="R15" s="298"/>
      <c r="S15" s="298"/>
      <c r="T15" s="298"/>
      <c r="U15" s="298" t="s">
        <v>263</v>
      </c>
      <c r="V15" s="298"/>
      <c r="W15" s="298"/>
      <c r="X15" s="183" t="s">
        <v>263</v>
      </c>
      <c r="Y15" s="298"/>
      <c r="Z15" s="369" t="s">
        <v>266</v>
      </c>
    </row>
    <row r="16" spans="1:29" ht="55.5" customHeight="1" x14ac:dyDescent="0.35">
      <c r="A16" s="742"/>
      <c r="B16" s="742"/>
      <c r="C16" s="742"/>
      <c r="D16" s="789"/>
      <c r="E16" s="789"/>
      <c r="F16" s="791"/>
      <c r="G16" s="862"/>
      <c r="H16" s="742"/>
      <c r="I16" s="760"/>
      <c r="J16" s="440" t="s">
        <v>151</v>
      </c>
      <c r="K16" s="176" t="s">
        <v>183</v>
      </c>
      <c r="L16" s="287">
        <v>6.6510999999999996</v>
      </c>
      <c r="M16" s="287"/>
      <c r="N16" s="287">
        <v>7.5918999999999999</v>
      </c>
      <c r="O16" s="362">
        <f t="shared" si="0"/>
        <v>940.8000000000003</v>
      </c>
      <c r="P16" s="876"/>
      <c r="Q16" s="183"/>
      <c r="R16" s="183"/>
      <c r="S16" s="183"/>
      <c r="T16" s="183"/>
      <c r="U16" s="183"/>
      <c r="V16" s="183" t="s">
        <v>263</v>
      </c>
      <c r="W16" s="183"/>
      <c r="X16" s="183"/>
      <c r="Y16" s="183"/>
      <c r="Z16" s="368"/>
    </row>
    <row r="17" spans="1:28" ht="52.5" customHeight="1" thickBot="1" x14ac:dyDescent="0.4">
      <c r="A17" s="743"/>
      <c r="B17" s="743"/>
      <c r="C17" s="743"/>
      <c r="D17" s="790"/>
      <c r="E17" s="790"/>
      <c r="F17" s="792"/>
      <c r="G17" s="863"/>
      <c r="H17" s="743"/>
      <c r="I17" s="761"/>
      <c r="J17" s="441" t="s">
        <v>179</v>
      </c>
      <c r="K17" s="441"/>
      <c r="L17" s="299">
        <v>11.5654</v>
      </c>
      <c r="M17" s="299"/>
      <c r="N17" s="299">
        <v>12.985900000000001</v>
      </c>
      <c r="O17" s="366">
        <f t="shared" si="0"/>
        <v>1420.5000000000005</v>
      </c>
      <c r="P17" s="877"/>
      <c r="Q17" s="180"/>
      <c r="R17" s="180"/>
      <c r="S17" s="180"/>
      <c r="T17" s="180"/>
      <c r="U17" s="180"/>
      <c r="V17" s="180"/>
      <c r="W17" s="180"/>
      <c r="X17" s="180"/>
      <c r="Y17" s="185"/>
      <c r="Z17" s="171"/>
    </row>
    <row r="18" spans="1:28" ht="62.15" customHeight="1" thickBot="1" x14ac:dyDescent="0.4">
      <c r="A18" s="443">
        <v>9</v>
      </c>
      <c r="B18" s="443">
        <v>5</v>
      </c>
      <c r="C18" s="443">
        <v>1</v>
      </c>
      <c r="D18" s="449">
        <f>(F18-F15)/C18/60</f>
        <v>8</v>
      </c>
      <c r="E18" s="449">
        <f>B18+D18+E15</f>
        <v>88.066666666666663</v>
      </c>
      <c r="F18" s="229">
        <f>G11-G18+F11</f>
        <v>1606</v>
      </c>
      <c r="G18" s="456">
        <v>500</v>
      </c>
      <c r="H18" s="443"/>
      <c r="I18" s="443" t="s">
        <v>71</v>
      </c>
      <c r="J18" s="443" t="s">
        <v>131</v>
      </c>
      <c r="K18" s="443" t="s">
        <v>64</v>
      </c>
      <c r="L18" s="300">
        <v>73.811000000000007</v>
      </c>
      <c r="M18" s="300"/>
      <c r="N18" s="300">
        <v>74.707999999999998</v>
      </c>
      <c r="O18" s="359">
        <f t="shared" si="0"/>
        <v>896.99999999999136</v>
      </c>
      <c r="P18" s="464" t="s">
        <v>205</v>
      </c>
      <c r="Q18" s="185" t="s">
        <v>263</v>
      </c>
      <c r="R18" s="185"/>
      <c r="S18" s="185"/>
      <c r="T18" s="185"/>
      <c r="U18" s="185"/>
      <c r="V18" s="185"/>
      <c r="W18" s="185"/>
      <c r="X18" s="185"/>
      <c r="Y18" s="185"/>
      <c r="Z18" s="172"/>
    </row>
    <row r="19" spans="1:28" ht="56.9" customHeight="1" thickBot="1" x14ac:dyDescent="0.4">
      <c r="A19" s="440">
        <v>10</v>
      </c>
      <c r="B19" s="440">
        <v>5</v>
      </c>
      <c r="C19" s="440">
        <v>1</v>
      </c>
      <c r="D19" s="449">
        <f>(F19-F18)/C19/60</f>
        <v>4.166666666666667</v>
      </c>
      <c r="E19" s="449">
        <f>B19+D19+E18</f>
        <v>97.233333333333334</v>
      </c>
      <c r="F19" s="229">
        <f t="shared" si="2"/>
        <v>1856</v>
      </c>
      <c r="G19" s="456">
        <v>250</v>
      </c>
      <c r="H19" s="441"/>
      <c r="I19" s="38" t="s">
        <v>72</v>
      </c>
      <c r="J19" s="441" t="s">
        <v>132</v>
      </c>
      <c r="K19" s="443" t="s">
        <v>64</v>
      </c>
      <c r="L19" s="300">
        <v>98.894999999999996</v>
      </c>
      <c r="M19" s="299"/>
      <c r="N19" s="300">
        <v>99.602999999999994</v>
      </c>
      <c r="O19" s="359">
        <f t="shared" si="0"/>
        <v>707.99999999999841</v>
      </c>
      <c r="P19" s="462" t="s">
        <v>205</v>
      </c>
      <c r="Q19" s="185" t="s">
        <v>263</v>
      </c>
      <c r="R19" s="180"/>
      <c r="S19" s="180"/>
      <c r="T19" s="180"/>
      <c r="U19" s="340"/>
      <c r="V19" s="188"/>
      <c r="W19" s="340"/>
      <c r="X19" s="289"/>
      <c r="Y19" s="289"/>
      <c r="Z19" s="171"/>
    </row>
    <row r="20" spans="1:28" ht="62.15" customHeight="1" thickBot="1" x14ac:dyDescent="0.4">
      <c r="A20" s="457">
        <v>11</v>
      </c>
      <c r="B20" s="457">
        <v>5</v>
      </c>
      <c r="C20" s="457">
        <v>1</v>
      </c>
      <c r="D20" s="449">
        <f>(F20-F19)/C20/60</f>
        <v>1.25</v>
      </c>
      <c r="E20" s="449">
        <f>B20+D20+E19</f>
        <v>103.48333333333333</v>
      </c>
      <c r="F20" s="229">
        <f>G19-G20+F19</f>
        <v>1931</v>
      </c>
      <c r="G20" s="457">
        <v>175</v>
      </c>
      <c r="H20" s="457"/>
      <c r="I20" s="443" t="s">
        <v>67</v>
      </c>
      <c r="J20" s="443" t="s">
        <v>133</v>
      </c>
      <c r="K20" s="443" t="s">
        <v>64</v>
      </c>
      <c r="L20" s="300">
        <v>77.879000000000005</v>
      </c>
      <c r="M20" s="302"/>
      <c r="N20" s="300">
        <v>78.447000000000003</v>
      </c>
      <c r="O20" s="359">
        <f t="shared" si="0"/>
        <v>567.99999999999784</v>
      </c>
      <c r="P20" s="462" t="s">
        <v>205</v>
      </c>
      <c r="Q20" s="185" t="s">
        <v>263</v>
      </c>
      <c r="R20" s="188"/>
      <c r="S20" s="188"/>
      <c r="T20" s="188"/>
      <c r="U20" s="188"/>
      <c r="V20" s="185"/>
      <c r="W20" s="188"/>
      <c r="X20" s="188"/>
      <c r="Y20" s="188"/>
      <c r="Z20" s="304"/>
    </row>
    <row r="21" spans="1:28" ht="63.75" customHeight="1" thickBot="1" x14ac:dyDescent="0.4">
      <c r="A21" s="443">
        <v>12</v>
      </c>
      <c r="B21" s="443">
        <v>5</v>
      </c>
      <c r="C21" s="443">
        <v>1</v>
      </c>
      <c r="D21" s="449">
        <f>(F21-F20)/C21/60</f>
        <v>2.0833333333333335</v>
      </c>
      <c r="E21" s="449">
        <f>B21+D21+E20</f>
        <v>110.56666666666666</v>
      </c>
      <c r="F21" s="229">
        <f>G15-G21+F15</f>
        <v>2056</v>
      </c>
      <c r="G21" s="456">
        <v>50</v>
      </c>
      <c r="H21" s="326"/>
      <c r="I21" s="443" t="s">
        <v>21</v>
      </c>
      <c r="J21" s="441" t="s">
        <v>149</v>
      </c>
      <c r="K21" s="443" t="s">
        <v>64</v>
      </c>
      <c r="L21" s="300">
        <v>16.286999999999999</v>
      </c>
      <c r="M21" s="300"/>
      <c r="N21" s="300">
        <v>16.552</v>
      </c>
      <c r="O21" s="359">
        <f t="shared" si="0"/>
        <v>265.00000000000057</v>
      </c>
      <c r="P21" s="458"/>
      <c r="Q21" s="185"/>
      <c r="R21" s="185"/>
      <c r="S21" s="185"/>
      <c r="T21" s="185"/>
      <c r="U21" s="185" t="s">
        <v>263</v>
      </c>
      <c r="V21" s="185"/>
      <c r="W21" s="339"/>
      <c r="X21" s="188" t="s">
        <v>263</v>
      </c>
      <c r="Y21" s="188" t="s">
        <v>263</v>
      </c>
      <c r="Z21" s="468" t="s">
        <v>275</v>
      </c>
    </row>
    <row r="22" spans="1:28" ht="61.5" customHeight="1" thickBot="1" x14ac:dyDescent="0.4">
      <c r="A22" s="443">
        <v>13</v>
      </c>
      <c r="B22" s="443">
        <v>5</v>
      </c>
      <c r="C22" s="443">
        <v>1</v>
      </c>
      <c r="D22" s="449">
        <f>(F22-F21)/C22/60</f>
        <v>0.33333333333333331</v>
      </c>
      <c r="E22" s="449">
        <f>B22+D22+E21</f>
        <v>115.89999999999999</v>
      </c>
      <c r="F22" s="229">
        <f>G20-G22+F20</f>
        <v>2076</v>
      </c>
      <c r="G22" s="456">
        <v>30</v>
      </c>
      <c r="H22" s="443"/>
      <c r="I22" s="443" t="s">
        <v>68</v>
      </c>
      <c r="J22" s="443" t="s">
        <v>134</v>
      </c>
      <c r="K22" s="443" t="s">
        <v>64</v>
      </c>
      <c r="L22" s="300">
        <v>80.796999999999997</v>
      </c>
      <c r="M22" s="300"/>
      <c r="N22" s="300">
        <v>80.87</v>
      </c>
      <c r="O22" s="465">
        <f t="shared" si="0"/>
        <v>73.000000000007503</v>
      </c>
      <c r="P22" s="303" t="s">
        <v>205</v>
      </c>
      <c r="Q22" s="185" t="s">
        <v>263</v>
      </c>
      <c r="R22" s="180"/>
      <c r="S22" s="180"/>
      <c r="T22" s="180"/>
      <c r="U22" s="180"/>
      <c r="V22" s="185"/>
      <c r="W22" s="180"/>
      <c r="X22" s="185"/>
      <c r="Y22" s="185"/>
      <c r="Z22" s="468" t="s">
        <v>276</v>
      </c>
    </row>
    <row r="23" spans="1:28" ht="40.5" thickBot="1" x14ac:dyDescent="0.6">
      <c r="A23" s="24" t="s">
        <v>10</v>
      </c>
      <c r="B23" s="439">
        <f>SUM(B6:B22)</f>
        <v>65</v>
      </c>
      <c r="C23" s="439"/>
      <c r="D23" s="455">
        <f>SUM(D6:D22)</f>
        <v>50.900000000000006</v>
      </c>
      <c r="E23" s="455">
        <f>D23+B23</f>
        <v>115.9</v>
      </c>
      <c r="F23" s="144">
        <f>G6</f>
        <v>2114</v>
      </c>
      <c r="G23" s="827" t="s">
        <v>18</v>
      </c>
      <c r="H23" s="856"/>
      <c r="I23" s="856"/>
      <c r="J23" s="9"/>
      <c r="K23" s="145" t="s">
        <v>103</v>
      </c>
      <c r="L23" s="838" t="s">
        <v>102</v>
      </c>
      <c r="M23" s="855"/>
      <c r="N23" s="252" t="s">
        <v>53</v>
      </c>
      <c r="O23" s="22"/>
    </row>
    <row r="24" spans="1:28" ht="46" x14ac:dyDescent="0.35">
      <c r="A24" s="26" t="s">
        <v>12</v>
      </c>
      <c r="B24" s="440">
        <f>B23/60</f>
        <v>1.0833333333333333</v>
      </c>
      <c r="C24" s="440"/>
      <c r="D24" s="454" t="s">
        <v>14</v>
      </c>
      <c r="E24" s="454"/>
      <c r="F24" s="253"/>
      <c r="J24" s="95" t="s">
        <v>145</v>
      </c>
      <c r="K24" s="30">
        <v>44236</v>
      </c>
      <c r="L24" s="883">
        <v>0.8125</v>
      </c>
      <c r="M24" s="884"/>
      <c r="N24" s="367">
        <v>0.64583333333333337</v>
      </c>
      <c r="O24" s="22"/>
      <c r="AB24">
        <v>1</v>
      </c>
    </row>
    <row r="25" spans="1:28" ht="46" x14ac:dyDescent="0.35">
      <c r="J25" s="96" t="s">
        <v>45</v>
      </c>
      <c r="K25" s="30">
        <v>44236</v>
      </c>
      <c r="L25" s="881">
        <v>0.92708333333333337</v>
      </c>
      <c r="M25" s="885"/>
      <c r="N25" s="367">
        <v>0.76041666666666663</v>
      </c>
      <c r="O25" s="22"/>
    </row>
    <row r="26" spans="1:28" ht="46" x14ac:dyDescent="0.35">
      <c r="A26" s="1"/>
      <c r="B26" s="1"/>
      <c r="C26" s="1"/>
      <c r="D26" s="1"/>
      <c r="E26" s="1"/>
      <c r="F26" s="1"/>
      <c r="G26" s="1"/>
      <c r="J26" s="96" t="s">
        <v>46</v>
      </c>
      <c r="K26" s="30">
        <v>44237</v>
      </c>
      <c r="L26" s="881">
        <v>5.2083333333333336E-2</v>
      </c>
      <c r="M26" s="882"/>
      <c r="N26" s="367">
        <v>0.88541666666666663</v>
      </c>
      <c r="O26" s="22"/>
    </row>
    <row r="27" spans="1:28" ht="46" x14ac:dyDescent="0.35">
      <c r="A27" s="857" t="s">
        <v>52</v>
      </c>
      <c r="B27" s="857"/>
      <c r="C27" s="857"/>
      <c r="D27" s="857"/>
      <c r="E27" s="857"/>
      <c r="F27" s="857"/>
      <c r="J27" s="96" t="s">
        <v>47</v>
      </c>
      <c r="K27" s="30">
        <v>44237</v>
      </c>
      <c r="L27" s="881">
        <v>0.125</v>
      </c>
      <c r="M27" s="882"/>
      <c r="N27" s="367">
        <v>0.95833333333333337</v>
      </c>
      <c r="O27" s="22"/>
    </row>
    <row r="28" spans="1:28" ht="20" x14ac:dyDescent="0.4">
      <c r="A28" s="17" t="s">
        <v>51</v>
      </c>
      <c r="B28" s="17"/>
      <c r="C28" s="17"/>
      <c r="F28" s="9">
        <v>8</v>
      </c>
      <c r="G28" s="20" t="s">
        <v>11</v>
      </c>
      <c r="J28" s="17"/>
      <c r="K28" s="19"/>
      <c r="O28" s="22"/>
    </row>
    <row r="29" spans="1:28" ht="60" x14ac:dyDescent="0.6">
      <c r="A29" s="120" t="s">
        <v>168</v>
      </c>
      <c r="F29" s="145">
        <v>10</v>
      </c>
      <c r="G29" s="17" t="s">
        <v>169</v>
      </c>
      <c r="J29" s="10" t="s">
        <v>50</v>
      </c>
      <c r="K29" s="31">
        <f>E23+F29</f>
        <v>125.9</v>
      </c>
      <c r="O29" s="22"/>
    </row>
    <row r="30" spans="1:28" ht="60" x14ac:dyDescent="0.7">
      <c r="A30" s="146"/>
      <c r="C30" s="120"/>
      <c r="F30" s="17"/>
      <c r="G30" s="17"/>
      <c r="H30" s="17"/>
      <c r="I30" s="15"/>
      <c r="J30" s="10" t="s">
        <v>49</v>
      </c>
      <c r="K30" s="31">
        <f>D23+5*A22+F29</f>
        <v>125.9</v>
      </c>
      <c r="O30" s="22"/>
    </row>
    <row r="31" spans="1:28" ht="29.5" x14ac:dyDescent="0.55000000000000004">
      <c r="A31" s="147"/>
      <c r="B31" s="20"/>
      <c r="C31" s="17"/>
      <c r="I31" s="9"/>
      <c r="J31" s="1"/>
      <c r="K31" s="1"/>
      <c r="L31" s="1"/>
      <c r="M31" s="2"/>
    </row>
    <row r="32" spans="1:28" ht="20" x14ac:dyDescent="0.4">
      <c r="C32" s="17"/>
      <c r="D32" s="17"/>
      <c r="E32" s="17" t="s">
        <v>14</v>
      </c>
      <c r="F32" s="17"/>
      <c r="I32" s="15"/>
      <c r="J32" s="1"/>
      <c r="K32" s="1"/>
      <c r="L32" s="1"/>
      <c r="M32" s="2"/>
    </row>
    <row r="33" spans="1:15" ht="20" x14ac:dyDescent="0.4">
      <c r="A33" s="19"/>
      <c r="B33" s="20"/>
      <c r="C33" s="17"/>
      <c r="D33" s="17"/>
      <c r="E33" s="23"/>
      <c r="F33" s="17"/>
      <c r="G33" s="17"/>
      <c r="H33" s="17"/>
      <c r="I33" s="15"/>
      <c r="J33" s="1"/>
      <c r="K33" s="1"/>
      <c r="L33" s="1"/>
      <c r="M33" s="2"/>
      <c r="N33" s="2"/>
      <c r="O33" s="2"/>
    </row>
    <row r="34" spans="1:15" ht="20" x14ac:dyDescent="0.4">
      <c r="A34" s="19"/>
      <c r="B34" s="20"/>
      <c r="C34" s="17"/>
      <c r="D34" s="17"/>
      <c r="E34" s="17"/>
      <c r="F34" s="17"/>
      <c r="G34" s="17"/>
      <c r="H34" s="17"/>
      <c r="I34" s="15"/>
      <c r="J34" s="1"/>
      <c r="K34" s="1"/>
      <c r="L34" s="1"/>
      <c r="M34" s="2"/>
    </row>
    <row r="35" spans="1:15" ht="18.5" x14ac:dyDescent="0.45">
      <c r="A35" s="16"/>
      <c r="B35" s="16"/>
      <c r="C35" s="16"/>
      <c r="D35" s="16"/>
      <c r="E35" s="16"/>
      <c r="F35" s="16"/>
      <c r="G35" s="16"/>
      <c r="H35" s="16"/>
      <c r="I35" s="16"/>
    </row>
    <row r="89" spans="13:13" x14ac:dyDescent="0.35">
      <c r="M89" t="s">
        <v>14</v>
      </c>
    </row>
  </sheetData>
  <mergeCells count="31">
    <mergeCell ref="P15:P17"/>
    <mergeCell ref="F15:F17"/>
    <mergeCell ref="M3:O3"/>
    <mergeCell ref="Q4:S4"/>
    <mergeCell ref="T4:W4"/>
    <mergeCell ref="L5:M5"/>
    <mergeCell ref="G7:G9"/>
    <mergeCell ref="H7:H9"/>
    <mergeCell ref="I7:I9"/>
    <mergeCell ref="P7:P9"/>
    <mergeCell ref="L25:M25"/>
    <mergeCell ref="L26:M26"/>
    <mergeCell ref="A27:F27"/>
    <mergeCell ref="L27:M27"/>
    <mergeCell ref="A7:A9"/>
    <mergeCell ref="B7:B9"/>
    <mergeCell ref="C7:C9"/>
    <mergeCell ref="D7:D9"/>
    <mergeCell ref="E7:E9"/>
    <mergeCell ref="E15:E17"/>
    <mergeCell ref="F7:F9"/>
    <mergeCell ref="L23:M23"/>
    <mergeCell ref="G15:G17"/>
    <mergeCell ref="H15:H17"/>
    <mergeCell ref="I15:I17"/>
    <mergeCell ref="L24:M24"/>
    <mergeCell ref="A15:A17"/>
    <mergeCell ref="B15:B17"/>
    <mergeCell ref="C15:C17"/>
    <mergeCell ref="D15:D17"/>
    <mergeCell ref="G23:I23"/>
  </mergeCells>
  <pageMargins left="0.7" right="0.7" top="0.75" bottom="0.75" header="0.3" footer="0.3"/>
  <pageSetup paperSize="9" scale="2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9"/>
  <sheetViews>
    <sheetView topLeftCell="A8" zoomScale="32" zoomScaleNormal="32" workbookViewId="0">
      <selection activeCell="AC5" sqref="AC5"/>
    </sheetView>
  </sheetViews>
  <sheetFormatPr defaultColWidth="11.453125" defaultRowHeight="14.5" x14ac:dyDescent="0.35"/>
  <cols>
    <col min="1" max="1" width="12.08984375" customWidth="1"/>
    <col min="2" max="2" width="13" customWidth="1"/>
    <col min="3" max="3" width="15.453125" customWidth="1"/>
    <col min="4" max="5" width="14.453125" customWidth="1"/>
    <col min="6" max="6" width="19.90625" customWidth="1"/>
    <col min="7" max="7" width="13.453125" customWidth="1"/>
    <col min="8" max="8" width="13.90625" customWidth="1"/>
    <col min="9" max="9" width="14" customWidth="1"/>
    <col min="10" max="10" width="21.08984375" customWidth="1"/>
    <col min="11" max="11" width="21.453125" customWidth="1"/>
    <col min="12" max="12" width="18" customWidth="1"/>
    <col min="13" max="13" width="20.90625" customWidth="1"/>
    <col min="14" max="14" width="28.453125" customWidth="1"/>
    <col min="15" max="15" width="19" customWidth="1"/>
    <col min="16" max="25" width="9.08984375" customWidth="1"/>
    <col min="26" max="26" width="102.08984375" bestFit="1" customWidth="1"/>
    <col min="27" max="27" width="10.453125" customWidth="1"/>
    <col min="28" max="28" width="10.453125" bestFit="1" customWidth="1"/>
    <col min="29" max="29" width="34.453125" customWidth="1"/>
  </cols>
  <sheetData>
    <row r="1" spans="1:29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</row>
    <row r="2" spans="1:29" ht="33.5" x14ac:dyDescent="0.65">
      <c r="A2" s="84" t="s">
        <v>36</v>
      </c>
      <c r="B2" s="83"/>
      <c r="C2" s="98" t="s">
        <v>282</v>
      </c>
      <c r="D2" s="83"/>
      <c r="H2" s="91" t="s">
        <v>96</v>
      </c>
      <c r="I2" s="193"/>
      <c r="J2" s="556">
        <v>-47.054000000000002</v>
      </c>
      <c r="K2" s="89" t="s">
        <v>277</v>
      </c>
      <c r="L2" s="1"/>
      <c r="M2" s="2"/>
      <c r="N2" s="2"/>
      <c r="O2" s="2"/>
    </row>
    <row r="3" spans="1:29" ht="32.5" x14ac:dyDescent="0.65">
      <c r="A3" s="119" t="s">
        <v>136</v>
      </c>
      <c r="B3" s="120"/>
      <c r="C3" s="121">
        <v>4272</v>
      </c>
      <c r="D3" s="122" t="s">
        <v>11</v>
      </c>
      <c r="E3" s="1"/>
      <c r="F3" s="1"/>
      <c r="G3" s="1"/>
      <c r="H3" s="92" t="s">
        <v>97</v>
      </c>
      <c r="J3" s="557">
        <v>56.43</v>
      </c>
      <c r="K3" s="89" t="s">
        <v>100</v>
      </c>
      <c r="L3" s="1"/>
      <c r="M3" s="880"/>
      <c r="N3" s="880"/>
      <c r="O3" s="880"/>
    </row>
    <row r="4" spans="1:29" ht="28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Q4" s="778" t="s">
        <v>38</v>
      </c>
      <c r="R4" s="779"/>
      <c r="S4" s="780"/>
      <c r="T4" s="781" t="s">
        <v>43</v>
      </c>
      <c r="U4" s="782"/>
      <c r="V4" s="782"/>
      <c r="W4" s="783"/>
      <c r="X4" s="480"/>
      <c r="Y4" s="480"/>
      <c r="Z4" s="13" t="s">
        <v>48</v>
      </c>
    </row>
    <row r="5" spans="1:29" ht="63" thickBot="1" x14ac:dyDescent="0.6">
      <c r="A5" s="10" t="s">
        <v>98</v>
      </c>
      <c r="B5" s="10" t="s">
        <v>0</v>
      </c>
      <c r="C5" s="10" t="s">
        <v>17</v>
      </c>
      <c r="D5" s="10" t="s">
        <v>1</v>
      </c>
      <c r="E5" s="10" t="s">
        <v>2</v>
      </c>
      <c r="F5" s="12" t="s">
        <v>3</v>
      </c>
      <c r="G5" s="360" t="s">
        <v>4</v>
      </c>
      <c r="H5" s="360" t="s">
        <v>5</v>
      </c>
      <c r="I5" s="291" t="s">
        <v>16</v>
      </c>
      <c r="J5" s="290" t="s">
        <v>15</v>
      </c>
      <c r="K5" s="290" t="s">
        <v>66</v>
      </c>
      <c r="L5" s="873" t="s">
        <v>143</v>
      </c>
      <c r="M5" s="874"/>
      <c r="N5" s="291" t="s">
        <v>144</v>
      </c>
      <c r="O5" s="292" t="s">
        <v>8</v>
      </c>
      <c r="P5" s="292" t="s">
        <v>137</v>
      </c>
      <c r="Q5" s="293" t="s">
        <v>42</v>
      </c>
      <c r="R5" s="293" t="s">
        <v>37</v>
      </c>
      <c r="S5" s="293" t="s">
        <v>44</v>
      </c>
      <c r="T5" s="294" t="s">
        <v>41</v>
      </c>
      <c r="U5" s="294" t="s">
        <v>39</v>
      </c>
      <c r="V5" s="294" t="s">
        <v>40</v>
      </c>
      <c r="W5" s="294" t="s">
        <v>42</v>
      </c>
      <c r="X5" s="294" t="s">
        <v>178</v>
      </c>
      <c r="Y5" s="294" t="s">
        <v>233</v>
      </c>
      <c r="Z5" s="295"/>
      <c r="AC5" s="251">
        <f>SUM(O6:O16,O19,O22)</f>
        <v>9475.0999999999985</v>
      </c>
    </row>
    <row r="6" spans="1:29" ht="57" customHeight="1" thickBot="1" x14ac:dyDescent="0.4">
      <c r="A6" s="476">
        <v>1</v>
      </c>
      <c r="B6" s="476">
        <v>5</v>
      </c>
      <c r="C6" s="476">
        <v>0.8</v>
      </c>
      <c r="D6" s="477">
        <f>ABS(F6)/C6/60</f>
        <v>0.16666666666666666</v>
      </c>
      <c r="E6" s="477">
        <f>B6+D6</f>
        <v>5.166666666666667</v>
      </c>
      <c r="F6" s="229">
        <v>-8</v>
      </c>
      <c r="G6" s="485">
        <f>C3-50</f>
        <v>4222</v>
      </c>
      <c r="H6" s="476"/>
      <c r="I6" s="478" t="s">
        <v>69</v>
      </c>
      <c r="J6" s="476" t="s">
        <v>135</v>
      </c>
      <c r="K6" s="476" t="s">
        <v>278</v>
      </c>
      <c r="L6" s="300">
        <v>7.5193000000000003</v>
      </c>
      <c r="M6" s="300"/>
      <c r="N6" s="300">
        <v>8.1786999999999992</v>
      </c>
      <c r="O6" s="359">
        <f>(N6-L6)*1000</f>
        <v>659.39999999999884</v>
      </c>
      <c r="P6" s="489" t="s">
        <v>205</v>
      </c>
      <c r="Q6" s="185" t="s">
        <v>263</v>
      </c>
      <c r="R6" s="180"/>
      <c r="S6" s="180"/>
      <c r="T6" s="180"/>
      <c r="U6" s="180"/>
      <c r="V6" s="180"/>
      <c r="W6" s="185"/>
      <c r="X6" s="188"/>
      <c r="Y6" s="185"/>
      <c r="Z6" s="172" t="s">
        <v>264</v>
      </c>
    </row>
    <row r="7" spans="1:29" ht="66.75" customHeight="1" thickBot="1" x14ac:dyDescent="0.4">
      <c r="A7" s="476">
        <v>2</v>
      </c>
      <c r="B7" s="476">
        <v>5</v>
      </c>
      <c r="C7" s="476">
        <v>0.8</v>
      </c>
      <c r="D7" s="477">
        <f>(F7-F6)/C7/60</f>
        <v>0.41666666666666669</v>
      </c>
      <c r="E7" s="477">
        <f>B7+D7+E6</f>
        <v>10.583333333333334</v>
      </c>
      <c r="F7" s="229">
        <f>G6-G7+F6</f>
        <v>12</v>
      </c>
      <c r="G7" s="485">
        <f>G6-20</f>
        <v>4202</v>
      </c>
      <c r="H7" s="476"/>
      <c r="I7" s="479" t="s">
        <v>70</v>
      </c>
      <c r="J7" s="476" t="s">
        <v>130</v>
      </c>
      <c r="K7" s="476" t="s">
        <v>279</v>
      </c>
      <c r="L7" s="300">
        <v>12.645</v>
      </c>
      <c r="M7" s="300"/>
      <c r="N7" s="300">
        <v>13.455</v>
      </c>
      <c r="O7" s="359">
        <f>(N7-L7)*1000</f>
        <v>810.00000000000045</v>
      </c>
      <c r="P7" s="489"/>
      <c r="Q7" s="180"/>
      <c r="R7" s="180"/>
      <c r="S7" s="180"/>
      <c r="T7" s="180"/>
      <c r="U7" s="180" t="s">
        <v>263</v>
      </c>
      <c r="V7" s="180"/>
      <c r="W7" s="188" t="s">
        <v>263</v>
      </c>
      <c r="X7" s="188" t="s">
        <v>263</v>
      </c>
      <c r="Y7" s="185"/>
      <c r="Z7" s="172" t="s">
        <v>285</v>
      </c>
    </row>
    <row r="8" spans="1:29" ht="65.150000000000006" customHeight="1" thickBot="1" x14ac:dyDescent="0.4">
      <c r="A8" s="476">
        <v>3</v>
      </c>
      <c r="B8" s="476">
        <v>5</v>
      </c>
      <c r="C8" s="476">
        <v>0.8</v>
      </c>
      <c r="D8" s="477">
        <f t="shared" ref="D8:D14" si="0">(F8-F7)/C8/60</f>
        <v>9.4166666666666661</v>
      </c>
      <c r="E8" s="477">
        <f t="shared" ref="E8:E15" si="1">B8+D8+E7</f>
        <v>25</v>
      </c>
      <c r="F8" s="229">
        <f t="shared" ref="F8:F16" si="2">G7-G8+F7</f>
        <v>464</v>
      </c>
      <c r="G8" s="485">
        <v>3750</v>
      </c>
      <c r="H8" s="476"/>
      <c r="I8" s="479" t="s">
        <v>283</v>
      </c>
      <c r="J8" s="476" t="s">
        <v>126</v>
      </c>
      <c r="K8" s="476" t="s">
        <v>278</v>
      </c>
      <c r="L8" s="300">
        <v>31.321999999999999</v>
      </c>
      <c r="M8" s="300"/>
      <c r="N8" s="300">
        <v>32.045000000000002</v>
      </c>
      <c r="O8" s="359">
        <f t="shared" ref="O8:O16" si="3">(N8-L8)*1000</f>
        <v>723.0000000000025</v>
      </c>
      <c r="P8" s="489" t="s">
        <v>205</v>
      </c>
      <c r="Q8" s="185" t="s">
        <v>263</v>
      </c>
      <c r="R8" s="180"/>
      <c r="S8" s="180"/>
      <c r="T8" s="180"/>
      <c r="U8" s="180"/>
      <c r="V8" s="180"/>
      <c r="W8" s="180"/>
      <c r="X8" s="180"/>
      <c r="Y8" s="185"/>
      <c r="Z8" s="172"/>
    </row>
    <row r="9" spans="1:29" ht="70.5" customHeight="1" thickBot="1" x14ac:dyDescent="0.4">
      <c r="A9" s="476">
        <v>4</v>
      </c>
      <c r="B9" s="476">
        <v>5</v>
      </c>
      <c r="C9" s="476">
        <v>0.8</v>
      </c>
      <c r="D9" s="477">
        <f>(F9-F8)/C9/60</f>
        <v>5.208333333333333</v>
      </c>
      <c r="E9" s="477">
        <f t="shared" si="1"/>
        <v>35.208333333333329</v>
      </c>
      <c r="F9" s="229">
        <f t="shared" si="2"/>
        <v>714</v>
      </c>
      <c r="G9" s="485">
        <v>3500</v>
      </c>
      <c r="H9" s="476"/>
      <c r="I9" s="476" t="s">
        <v>31</v>
      </c>
      <c r="J9" s="476" t="s">
        <v>127</v>
      </c>
      <c r="K9" s="476" t="s">
        <v>278</v>
      </c>
      <c r="L9" s="300">
        <v>51.908000000000001</v>
      </c>
      <c r="M9" s="299"/>
      <c r="N9" s="300">
        <v>52.758000000000003</v>
      </c>
      <c r="O9" s="359">
        <f t="shared" si="3"/>
        <v>850.00000000000136</v>
      </c>
      <c r="P9" s="464" t="s">
        <v>205</v>
      </c>
      <c r="Q9" s="185" t="s">
        <v>263</v>
      </c>
      <c r="R9" s="180"/>
      <c r="S9" s="180"/>
      <c r="T9" s="180"/>
      <c r="U9" s="180"/>
      <c r="V9" s="180"/>
      <c r="W9" s="180"/>
      <c r="X9" s="185"/>
      <c r="Y9" s="185"/>
      <c r="Z9" s="172"/>
    </row>
    <row r="10" spans="1:29" ht="80.900000000000006" customHeight="1" thickBot="1" x14ac:dyDescent="0.4">
      <c r="A10" s="476">
        <v>5</v>
      </c>
      <c r="B10" s="476">
        <v>5</v>
      </c>
      <c r="C10" s="476">
        <v>0.8</v>
      </c>
      <c r="D10" s="477">
        <f t="shared" si="0"/>
        <v>10.416666666666666</v>
      </c>
      <c r="E10" s="477">
        <f t="shared" si="1"/>
        <v>50.624999999999993</v>
      </c>
      <c r="F10" s="229">
        <f t="shared" si="2"/>
        <v>1214</v>
      </c>
      <c r="G10" s="485">
        <v>3000</v>
      </c>
      <c r="H10" s="476"/>
      <c r="I10" s="476" t="s">
        <v>25</v>
      </c>
      <c r="J10" s="476" t="s">
        <v>128</v>
      </c>
      <c r="K10" s="476" t="s">
        <v>278</v>
      </c>
      <c r="L10" s="300">
        <v>35.795999999999999</v>
      </c>
      <c r="M10" s="300"/>
      <c r="N10" s="300">
        <v>36.665999999999997</v>
      </c>
      <c r="O10" s="359">
        <f t="shared" si="3"/>
        <v>869.9999999999975</v>
      </c>
      <c r="P10" s="489" t="s">
        <v>205</v>
      </c>
      <c r="Q10" s="185" t="s">
        <v>263</v>
      </c>
      <c r="R10" s="180"/>
      <c r="S10" s="180"/>
      <c r="T10" s="180"/>
      <c r="U10" s="180"/>
      <c r="V10" s="180"/>
      <c r="W10" s="180"/>
      <c r="X10" s="180"/>
      <c r="Y10" s="185"/>
      <c r="Z10" s="172"/>
    </row>
    <row r="11" spans="1:29" ht="67.5" customHeight="1" thickBot="1" x14ac:dyDescent="0.4">
      <c r="A11" s="476">
        <v>6</v>
      </c>
      <c r="B11" s="476">
        <v>5</v>
      </c>
      <c r="C11" s="476">
        <v>0.8</v>
      </c>
      <c r="D11" s="477">
        <f t="shared" si="0"/>
        <v>10.416666666666666</v>
      </c>
      <c r="E11" s="477">
        <f t="shared" si="1"/>
        <v>66.041666666666657</v>
      </c>
      <c r="F11" s="229">
        <f t="shared" si="2"/>
        <v>1714</v>
      </c>
      <c r="G11" s="485">
        <v>2500</v>
      </c>
      <c r="H11" s="476"/>
      <c r="I11" s="488" t="s">
        <v>29</v>
      </c>
      <c r="J11" s="488" t="s">
        <v>129</v>
      </c>
      <c r="K11" s="476" t="s">
        <v>278</v>
      </c>
      <c r="L11" s="302">
        <v>53.302</v>
      </c>
      <c r="M11" s="300"/>
      <c r="N11" s="299">
        <v>54.098999999999997</v>
      </c>
      <c r="O11" s="359">
        <f t="shared" si="3"/>
        <v>796.99999999999704</v>
      </c>
      <c r="P11" s="303" t="s">
        <v>205</v>
      </c>
      <c r="Q11" s="185" t="s">
        <v>263</v>
      </c>
      <c r="R11" s="180"/>
      <c r="S11" s="180"/>
      <c r="T11" s="180"/>
      <c r="U11" s="180"/>
      <c r="V11" s="180"/>
      <c r="W11" s="180"/>
      <c r="X11" s="188"/>
      <c r="Y11" s="185"/>
      <c r="Z11" s="172" t="s">
        <v>286</v>
      </c>
    </row>
    <row r="12" spans="1:29" ht="62.15" customHeight="1" thickBot="1" x14ac:dyDescent="0.4">
      <c r="A12" s="476">
        <v>7</v>
      </c>
      <c r="B12" s="476">
        <v>5</v>
      </c>
      <c r="C12" s="476">
        <v>0.8</v>
      </c>
      <c r="D12" s="477">
        <f>(F12-F11)/C12/60</f>
        <v>10.416666666666666</v>
      </c>
      <c r="E12" s="477">
        <f t="shared" si="1"/>
        <v>81.458333333333329</v>
      </c>
      <c r="F12" s="229">
        <f t="shared" si="2"/>
        <v>2214</v>
      </c>
      <c r="G12" s="485">
        <v>2000</v>
      </c>
      <c r="H12" s="476"/>
      <c r="I12" s="476" t="s">
        <v>71</v>
      </c>
      <c r="J12" s="476" t="s">
        <v>131</v>
      </c>
      <c r="K12" s="476" t="s">
        <v>278</v>
      </c>
      <c r="L12" s="300">
        <v>74.709999999999994</v>
      </c>
      <c r="M12" s="300"/>
      <c r="N12" s="300">
        <v>75.659000000000006</v>
      </c>
      <c r="O12" s="359">
        <f t="shared" si="3"/>
        <v>949.00000000001228</v>
      </c>
      <c r="P12" s="489" t="s">
        <v>205</v>
      </c>
      <c r="Q12" s="185" t="s">
        <v>263</v>
      </c>
      <c r="R12" s="185"/>
      <c r="S12" s="185"/>
      <c r="T12" s="185"/>
      <c r="U12" s="185"/>
      <c r="V12" s="185"/>
      <c r="W12" s="185"/>
      <c r="X12" s="185"/>
      <c r="Y12" s="185"/>
      <c r="Z12" s="468" t="s">
        <v>287</v>
      </c>
    </row>
    <row r="13" spans="1:29" ht="61.5" customHeight="1" thickBot="1" x14ac:dyDescent="0.4">
      <c r="A13" s="476">
        <v>8</v>
      </c>
      <c r="B13" s="476">
        <v>5</v>
      </c>
      <c r="C13" s="476">
        <v>0.8</v>
      </c>
      <c r="D13" s="477">
        <f>(F13-F12)/C13/60</f>
        <v>0.41666666666666669</v>
      </c>
      <c r="E13" s="477">
        <f t="shared" si="1"/>
        <v>86.875</v>
      </c>
      <c r="F13" s="229">
        <f t="shared" si="2"/>
        <v>2234</v>
      </c>
      <c r="G13" s="485">
        <v>1980</v>
      </c>
      <c r="H13" s="476"/>
      <c r="I13" s="476" t="s">
        <v>68</v>
      </c>
      <c r="J13" s="476" t="s">
        <v>134</v>
      </c>
      <c r="K13" s="476" t="s">
        <v>279</v>
      </c>
      <c r="L13" s="300">
        <v>81.167000000000002</v>
      </c>
      <c r="M13" s="300"/>
      <c r="N13" s="300">
        <v>82.085999999999999</v>
      </c>
      <c r="O13" s="465">
        <f>(N13-L13)*1000</f>
        <v>918.99999999999693</v>
      </c>
      <c r="P13" s="303"/>
      <c r="Q13" s="185"/>
      <c r="R13" s="180"/>
      <c r="S13" s="180"/>
      <c r="T13" s="180"/>
      <c r="U13" s="185" t="s">
        <v>263</v>
      </c>
      <c r="V13" s="185"/>
      <c r="W13" s="185" t="s">
        <v>263</v>
      </c>
      <c r="X13" s="185" t="s">
        <v>263</v>
      </c>
      <c r="Y13" s="185"/>
      <c r="Z13" s="468" t="s">
        <v>281</v>
      </c>
    </row>
    <row r="14" spans="1:29" ht="56.9" customHeight="1" thickBot="1" x14ac:dyDescent="0.4">
      <c r="A14" s="482">
        <v>9</v>
      </c>
      <c r="B14" s="482">
        <v>5</v>
      </c>
      <c r="C14" s="482">
        <v>0.8</v>
      </c>
      <c r="D14" s="477">
        <f t="shared" si="0"/>
        <v>20.208333333333332</v>
      </c>
      <c r="E14" s="477">
        <f t="shared" si="1"/>
        <v>112.08333333333333</v>
      </c>
      <c r="F14" s="229">
        <f t="shared" si="2"/>
        <v>3204</v>
      </c>
      <c r="G14" s="485">
        <v>1010</v>
      </c>
      <c r="H14" s="483"/>
      <c r="I14" s="38" t="s">
        <v>284</v>
      </c>
      <c r="J14" s="483" t="s">
        <v>132</v>
      </c>
      <c r="K14" s="476" t="s">
        <v>278</v>
      </c>
      <c r="L14" s="300">
        <v>99.605000000000004</v>
      </c>
      <c r="M14" s="299"/>
      <c r="N14" s="300">
        <v>100.583</v>
      </c>
      <c r="O14" s="359">
        <f t="shared" si="3"/>
        <v>977.99999999999443</v>
      </c>
      <c r="P14" s="489" t="s">
        <v>205</v>
      </c>
      <c r="Q14" s="185" t="s">
        <v>263</v>
      </c>
      <c r="R14" s="180"/>
      <c r="S14" s="180"/>
      <c r="T14" s="180"/>
      <c r="U14" s="188"/>
      <c r="V14" s="188"/>
      <c r="W14" s="188"/>
      <c r="X14" s="289"/>
      <c r="Y14" s="188"/>
      <c r="Z14" s="171" t="s">
        <v>288</v>
      </c>
    </row>
    <row r="15" spans="1:29" ht="63.75" customHeight="1" thickBot="1" x14ac:dyDescent="0.4">
      <c r="A15" s="476">
        <v>10</v>
      </c>
      <c r="B15" s="476">
        <v>5</v>
      </c>
      <c r="C15" s="476">
        <v>0.8</v>
      </c>
      <c r="D15" s="477">
        <f>(F15-F14)/C15/60</f>
        <v>0.41666666666666669</v>
      </c>
      <c r="E15" s="477">
        <f t="shared" si="1"/>
        <v>117.5</v>
      </c>
      <c r="F15" s="229">
        <f t="shared" si="2"/>
        <v>3224</v>
      </c>
      <c r="G15" s="485">
        <v>990</v>
      </c>
      <c r="H15" s="326"/>
      <c r="I15" s="476" t="s">
        <v>21</v>
      </c>
      <c r="J15" s="483" t="s">
        <v>149</v>
      </c>
      <c r="K15" s="476" t="s">
        <v>279</v>
      </c>
      <c r="L15" s="300">
        <v>16.553999999999998</v>
      </c>
      <c r="M15" s="300"/>
      <c r="N15" s="300">
        <v>17.212</v>
      </c>
      <c r="O15" s="359">
        <f>(N15-L15)*1000</f>
        <v>658.00000000000125</v>
      </c>
      <c r="P15" s="489"/>
      <c r="Q15" s="185"/>
      <c r="R15" s="185"/>
      <c r="S15" s="185"/>
      <c r="T15" s="185"/>
      <c r="U15" s="185" t="s">
        <v>263</v>
      </c>
      <c r="V15" s="185"/>
      <c r="W15" s="185" t="s">
        <v>263</v>
      </c>
      <c r="X15" s="188" t="s">
        <v>263</v>
      </c>
      <c r="Y15" s="185"/>
      <c r="Z15" s="468" t="s">
        <v>289</v>
      </c>
    </row>
    <row r="16" spans="1:29" ht="62.15" customHeight="1" thickBot="1" x14ac:dyDescent="0.4">
      <c r="A16" s="488">
        <v>11</v>
      </c>
      <c r="B16" s="488">
        <v>5</v>
      </c>
      <c r="C16" s="488">
        <v>0.8</v>
      </c>
      <c r="D16" s="477">
        <f>(F16-F15)/C16/60</f>
        <v>10.208333333333334</v>
      </c>
      <c r="E16" s="477">
        <f>B16+D16+E15</f>
        <v>132.70833333333334</v>
      </c>
      <c r="F16" s="229">
        <f t="shared" si="2"/>
        <v>3714</v>
      </c>
      <c r="G16" s="488">
        <v>500</v>
      </c>
      <c r="H16" s="488"/>
      <c r="I16" s="476" t="s">
        <v>67</v>
      </c>
      <c r="J16" s="476" t="s">
        <v>133</v>
      </c>
      <c r="K16" s="476" t="s">
        <v>278</v>
      </c>
      <c r="L16" s="300">
        <v>78.45</v>
      </c>
      <c r="M16" s="302"/>
      <c r="N16" s="300">
        <v>79.19</v>
      </c>
      <c r="O16" s="359">
        <f t="shared" si="3"/>
        <v>739.99999999999488</v>
      </c>
      <c r="P16" s="489" t="s">
        <v>205</v>
      </c>
      <c r="Q16" s="185" t="s">
        <v>263</v>
      </c>
      <c r="R16" s="188"/>
      <c r="S16" s="188"/>
      <c r="T16" s="188"/>
      <c r="U16" s="188"/>
      <c r="V16" s="185"/>
      <c r="W16" s="188"/>
      <c r="X16" s="188"/>
      <c r="Y16" s="188"/>
      <c r="Z16" s="304"/>
    </row>
    <row r="17" spans="1:29" ht="51" customHeight="1" x14ac:dyDescent="0.6">
      <c r="A17" s="806">
        <v>12</v>
      </c>
      <c r="B17" s="806">
        <v>5</v>
      </c>
      <c r="C17" s="806">
        <v>0.8</v>
      </c>
      <c r="D17" s="807">
        <f>(F17-F16)/C17/60</f>
        <v>9.375</v>
      </c>
      <c r="E17" s="807">
        <f>E16+D17+B17</f>
        <v>147.08333333333334</v>
      </c>
      <c r="F17" s="858">
        <f>G16-G17+F16</f>
        <v>4164</v>
      </c>
      <c r="G17" s="861">
        <v>50</v>
      </c>
      <c r="H17" s="806"/>
      <c r="I17" s="759" t="s">
        <v>27</v>
      </c>
      <c r="J17" s="484" t="s">
        <v>150</v>
      </c>
      <c r="K17" s="296" t="s">
        <v>279</v>
      </c>
      <c r="L17" s="288">
        <v>5.6669999999999998</v>
      </c>
      <c r="M17" s="297"/>
      <c r="N17" s="288">
        <v>5.7915000000000001</v>
      </c>
      <c r="O17" s="359">
        <f t="shared" ref="O17:O22" si="4">(N17-L17)*1000</f>
        <v>124.50000000000028</v>
      </c>
      <c r="P17" s="875"/>
      <c r="Q17" s="298"/>
      <c r="R17" s="298"/>
      <c r="S17" s="298"/>
      <c r="T17" s="298"/>
      <c r="U17" s="298" t="s">
        <v>263</v>
      </c>
      <c r="V17" s="298"/>
      <c r="W17" s="183" t="s">
        <v>263</v>
      </c>
      <c r="X17" s="183" t="s">
        <v>263</v>
      </c>
      <c r="Y17" s="183" t="s">
        <v>263</v>
      </c>
      <c r="Z17" s="369" t="s">
        <v>280</v>
      </c>
      <c r="AC17" s="120"/>
    </row>
    <row r="18" spans="1:29" ht="55.5" customHeight="1" x14ac:dyDescent="0.35">
      <c r="A18" s="742"/>
      <c r="B18" s="742"/>
      <c r="C18" s="742"/>
      <c r="D18" s="789"/>
      <c r="E18" s="789"/>
      <c r="F18" s="791">
        <f t="shared" ref="F18:F22" si="5">G17-G18-$F$28</f>
        <v>42</v>
      </c>
      <c r="G18" s="862"/>
      <c r="H18" s="742"/>
      <c r="I18" s="760"/>
      <c r="J18" s="482" t="s">
        <v>151</v>
      </c>
      <c r="K18" s="176" t="s">
        <v>278</v>
      </c>
      <c r="L18" s="287">
        <v>7.5944000000000003</v>
      </c>
      <c r="M18" s="287"/>
      <c r="N18" s="287">
        <v>7.7191000000000001</v>
      </c>
      <c r="O18" s="362">
        <f t="shared" si="4"/>
        <v>124.69999999999982</v>
      </c>
      <c r="P18" s="876"/>
      <c r="Q18" s="183" t="s">
        <v>263</v>
      </c>
      <c r="R18" s="183"/>
      <c r="S18" s="183"/>
      <c r="T18" s="183"/>
      <c r="U18" s="183"/>
      <c r="V18" s="138"/>
      <c r="X18" s="183"/>
      <c r="Y18" s="183"/>
      <c r="Z18" s="368"/>
    </row>
    <row r="19" spans="1:29" ht="52.5" customHeight="1" thickBot="1" x14ac:dyDescent="0.4">
      <c r="A19" s="743"/>
      <c r="B19" s="743"/>
      <c r="C19" s="743"/>
      <c r="D19" s="790"/>
      <c r="E19" s="790"/>
      <c r="F19" s="792">
        <f t="shared" si="5"/>
        <v>-8</v>
      </c>
      <c r="G19" s="863"/>
      <c r="H19" s="743"/>
      <c r="I19" s="761"/>
      <c r="J19" s="483" t="s">
        <v>179</v>
      </c>
      <c r="K19" s="483"/>
      <c r="L19" s="299">
        <v>12.985900000000001</v>
      </c>
      <c r="M19" s="299"/>
      <c r="N19" s="299">
        <v>13.232699999999999</v>
      </c>
      <c r="O19" s="366">
        <f t="shared" si="4"/>
        <v>246.79999999999859</v>
      </c>
      <c r="P19" s="877"/>
      <c r="Q19" s="180"/>
      <c r="R19" s="180"/>
      <c r="S19" s="180"/>
      <c r="T19" s="180"/>
      <c r="U19" s="180"/>
      <c r="V19" s="180"/>
      <c r="W19" s="180"/>
      <c r="X19" s="180"/>
      <c r="Y19" s="185"/>
      <c r="Z19" s="171"/>
    </row>
    <row r="20" spans="1:29" ht="53.9" customHeight="1" x14ac:dyDescent="0.35">
      <c r="A20" s="742">
        <v>13</v>
      </c>
      <c r="B20" s="742">
        <v>5</v>
      </c>
      <c r="C20" s="806">
        <v>0.8</v>
      </c>
      <c r="D20" s="807">
        <f>(F20-F17)/C20/60</f>
        <v>0.41666666666666669</v>
      </c>
      <c r="E20" s="789">
        <f>E17+B20+D20</f>
        <v>152.5</v>
      </c>
      <c r="F20" s="858">
        <f>G17-G20+F17</f>
        <v>4184</v>
      </c>
      <c r="G20" s="862">
        <v>30</v>
      </c>
      <c r="H20" s="742"/>
      <c r="I20" s="759" t="s">
        <v>23</v>
      </c>
      <c r="J20" s="481" t="s">
        <v>150</v>
      </c>
      <c r="K20" s="175" t="s">
        <v>279</v>
      </c>
      <c r="L20" s="297">
        <v>5.3494000000000002</v>
      </c>
      <c r="M20" s="364"/>
      <c r="N20" s="288">
        <v>5.4966999999999997</v>
      </c>
      <c r="O20" s="359">
        <f t="shared" si="4"/>
        <v>147.29999999999956</v>
      </c>
      <c r="P20" s="876"/>
      <c r="Q20" s="181"/>
      <c r="R20" s="181"/>
      <c r="S20" s="181"/>
      <c r="T20" s="181"/>
      <c r="U20" s="340" t="s">
        <v>263</v>
      </c>
      <c r="V20" s="340"/>
      <c r="W20" s="183" t="s">
        <v>263</v>
      </c>
      <c r="X20" s="183" t="s">
        <v>263</v>
      </c>
      <c r="Y20" s="183" t="s">
        <v>263</v>
      </c>
      <c r="Z20" s="370" t="s">
        <v>265</v>
      </c>
    </row>
    <row r="21" spans="1:29" ht="57.75" customHeight="1" x14ac:dyDescent="0.35">
      <c r="A21" s="742"/>
      <c r="B21" s="742"/>
      <c r="C21" s="742"/>
      <c r="D21" s="789"/>
      <c r="E21" s="789"/>
      <c r="F21" s="791">
        <f t="shared" si="5"/>
        <v>22</v>
      </c>
      <c r="G21" s="742"/>
      <c r="H21" s="742"/>
      <c r="I21" s="760"/>
      <c r="J21" s="482" t="s">
        <v>151</v>
      </c>
      <c r="K21" s="176" t="s">
        <v>278</v>
      </c>
      <c r="L21" s="287">
        <v>7.1249000000000002</v>
      </c>
      <c r="M21" s="363"/>
      <c r="N21" s="287">
        <v>7.2628000000000004</v>
      </c>
      <c r="O21" s="362">
        <f t="shared" si="4"/>
        <v>137.90000000000015</v>
      </c>
      <c r="P21" s="876"/>
      <c r="Q21" s="183" t="s">
        <v>263</v>
      </c>
      <c r="R21" s="183"/>
      <c r="S21" s="183"/>
      <c r="T21" s="183"/>
      <c r="U21" s="183"/>
      <c r="V21" s="183"/>
      <c r="X21" s="183"/>
      <c r="Y21" s="183"/>
      <c r="Z21" s="368"/>
    </row>
    <row r="22" spans="1:29" ht="64.5" customHeight="1" thickBot="1" x14ac:dyDescent="0.4">
      <c r="A22" s="743"/>
      <c r="B22" s="743"/>
      <c r="C22" s="743"/>
      <c r="D22" s="790"/>
      <c r="E22" s="790"/>
      <c r="F22" s="792">
        <f t="shared" si="5"/>
        <v>-8</v>
      </c>
      <c r="G22" s="743"/>
      <c r="H22" s="743"/>
      <c r="I22" s="761"/>
      <c r="J22" s="483" t="s">
        <v>179</v>
      </c>
      <c r="K22" s="483"/>
      <c r="L22" s="299">
        <v>12.3018</v>
      </c>
      <c r="M22" s="365"/>
      <c r="N22" s="299">
        <v>12.576700000000001</v>
      </c>
      <c r="O22" s="490">
        <f t="shared" si="4"/>
        <v>274.9000000000006</v>
      </c>
      <c r="P22" s="877"/>
      <c r="Q22" s="180"/>
      <c r="R22" s="180"/>
      <c r="S22" s="180"/>
      <c r="T22" s="180"/>
      <c r="U22" s="180"/>
      <c r="V22" s="180"/>
      <c r="W22" s="180"/>
      <c r="X22" s="180"/>
      <c r="Y22" s="185"/>
      <c r="Z22" s="171"/>
    </row>
    <row r="23" spans="1:29" ht="40.5" thickBot="1" x14ac:dyDescent="0.6">
      <c r="A23" s="24" t="s">
        <v>10</v>
      </c>
      <c r="B23" s="481">
        <f>SUM(B6:B22)</f>
        <v>65</v>
      </c>
      <c r="C23" s="481"/>
      <c r="D23" s="487">
        <f>SUM(D6:D22)</f>
        <v>87.5</v>
      </c>
      <c r="E23" s="487">
        <f>D23+B23</f>
        <v>152.5</v>
      </c>
      <c r="F23" s="144">
        <f>G6</f>
        <v>4222</v>
      </c>
      <c r="G23" s="827" t="s">
        <v>18</v>
      </c>
      <c r="H23" s="856"/>
      <c r="I23" s="856"/>
      <c r="J23" s="9"/>
      <c r="K23" s="145" t="s">
        <v>103</v>
      </c>
      <c r="L23" s="838" t="s">
        <v>102</v>
      </c>
      <c r="M23" s="855"/>
      <c r="N23" s="252" t="s">
        <v>53</v>
      </c>
      <c r="O23" s="22"/>
    </row>
    <row r="24" spans="1:29" ht="46" x14ac:dyDescent="0.35">
      <c r="A24" s="26" t="s">
        <v>12</v>
      </c>
      <c r="B24" s="482">
        <f>B23/60</f>
        <v>1.0833333333333333</v>
      </c>
      <c r="C24" s="482"/>
      <c r="D24" s="486" t="s">
        <v>14</v>
      </c>
      <c r="E24" s="486"/>
      <c r="F24" s="253"/>
      <c r="J24" s="95" t="s">
        <v>145</v>
      </c>
      <c r="K24" s="30">
        <v>44238</v>
      </c>
      <c r="L24" s="883">
        <v>0.82291666666666663</v>
      </c>
      <c r="M24" s="884"/>
      <c r="N24" s="367">
        <v>0.65625</v>
      </c>
      <c r="O24" s="22"/>
      <c r="AB24">
        <v>1</v>
      </c>
    </row>
    <row r="25" spans="1:29" ht="46" x14ac:dyDescent="0.35">
      <c r="J25" s="96" t="s">
        <v>45</v>
      </c>
      <c r="K25" s="30">
        <v>44238</v>
      </c>
      <c r="L25" s="881">
        <v>0.95833333333333337</v>
      </c>
      <c r="M25" s="885"/>
      <c r="N25" s="367">
        <v>0.79166666666666663</v>
      </c>
      <c r="O25" s="22"/>
    </row>
    <row r="26" spans="1:29" ht="46" x14ac:dyDescent="0.35">
      <c r="A26" s="1"/>
      <c r="B26" s="1"/>
      <c r="C26" s="1"/>
      <c r="D26" s="1"/>
      <c r="E26" s="1"/>
      <c r="F26" s="1"/>
      <c r="G26" s="1"/>
      <c r="J26" s="96" t="s">
        <v>46</v>
      </c>
      <c r="K26" s="30">
        <v>44238</v>
      </c>
      <c r="L26" s="881">
        <v>8.3333333333333329E-2</v>
      </c>
      <c r="M26" s="882"/>
      <c r="N26" s="367">
        <v>0.91666666666666663</v>
      </c>
      <c r="O26" s="22"/>
    </row>
    <row r="27" spans="1:29" ht="46" x14ac:dyDescent="0.35">
      <c r="A27" s="857" t="s">
        <v>52</v>
      </c>
      <c r="B27" s="857"/>
      <c r="C27" s="857"/>
      <c r="D27" s="857"/>
      <c r="E27" s="857"/>
      <c r="F27" s="857"/>
      <c r="J27" s="96" t="s">
        <v>47</v>
      </c>
      <c r="K27" s="30">
        <v>44238</v>
      </c>
      <c r="L27" s="881">
        <v>0.18055555555555555</v>
      </c>
      <c r="M27" s="882"/>
      <c r="N27" s="367">
        <v>1.3888888888888888E-2</v>
      </c>
      <c r="O27" s="22"/>
    </row>
    <row r="28" spans="1:29" ht="20" x14ac:dyDescent="0.4">
      <c r="A28" s="17" t="s">
        <v>51</v>
      </c>
      <c r="B28" s="17"/>
      <c r="C28" s="17"/>
      <c r="F28" s="9">
        <v>8</v>
      </c>
      <c r="G28" s="20" t="s">
        <v>11</v>
      </c>
      <c r="J28" s="17"/>
      <c r="K28" s="19"/>
      <c r="O28" s="22"/>
    </row>
    <row r="29" spans="1:29" ht="60" x14ac:dyDescent="0.6">
      <c r="A29" s="120" t="s">
        <v>168</v>
      </c>
      <c r="F29" s="145">
        <v>10</v>
      </c>
      <c r="G29" s="17" t="s">
        <v>169</v>
      </c>
      <c r="J29" s="10" t="s">
        <v>50</v>
      </c>
      <c r="K29" s="31">
        <f>E23+F29</f>
        <v>162.5</v>
      </c>
      <c r="O29" s="22"/>
    </row>
    <row r="30" spans="1:29" ht="60" x14ac:dyDescent="0.7">
      <c r="A30" s="146"/>
      <c r="C30" s="120"/>
      <c r="F30" s="17"/>
      <c r="G30" s="17"/>
      <c r="H30" s="17"/>
      <c r="I30" s="15"/>
      <c r="J30" s="10" t="s">
        <v>49</v>
      </c>
      <c r="K30" s="31">
        <f>D23+5*A20+F29</f>
        <v>162.5</v>
      </c>
      <c r="O30" s="22"/>
    </row>
    <row r="31" spans="1:29" ht="29.5" x14ac:dyDescent="0.55000000000000004">
      <c r="A31" s="147"/>
      <c r="B31" s="20"/>
      <c r="C31" s="17"/>
      <c r="I31" s="9"/>
      <c r="J31" s="1"/>
      <c r="K31" s="1"/>
      <c r="L31" s="1"/>
      <c r="M31" s="2"/>
    </row>
    <row r="32" spans="1:29" ht="20" x14ac:dyDescent="0.4">
      <c r="C32" s="17"/>
      <c r="D32" s="17"/>
      <c r="E32" s="17" t="s">
        <v>14</v>
      </c>
      <c r="F32" s="17"/>
      <c r="I32" s="15"/>
      <c r="J32" s="1"/>
      <c r="K32" s="1"/>
      <c r="L32" s="1"/>
      <c r="M32" s="2"/>
    </row>
    <row r="33" spans="1:15" ht="20" x14ac:dyDescent="0.4">
      <c r="A33" s="19"/>
      <c r="B33" s="20"/>
      <c r="C33" s="17"/>
      <c r="D33" s="17"/>
      <c r="E33" s="23"/>
      <c r="F33" s="17"/>
      <c r="G33" s="17"/>
      <c r="H33" s="17"/>
      <c r="I33" s="15"/>
      <c r="J33" s="1"/>
      <c r="K33" s="1"/>
      <c r="L33" s="1"/>
      <c r="M33" s="2"/>
      <c r="N33" s="2"/>
      <c r="O33" s="2"/>
    </row>
    <row r="34" spans="1:15" ht="20" x14ac:dyDescent="0.4">
      <c r="A34" s="19"/>
      <c r="B34" s="20"/>
      <c r="C34" s="17"/>
      <c r="D34" s="17"/>
      <c r="E34" s="17"/>
      <c r="F34" s="17"/>
      <c r="G34" s="17"/>
      <c r="H34" s="17"/>
      <c r="I34" s="15"/>
      <c r="J34" s="1"/>
      <c r="K34" s="1"/>
      <c r="L34" s="1"/>
      <c r="M34" s="2"/>
    </row>
    <row r="35" spans="1:15" ht="18.5" x14ac:dyDescent="0.45">
      <c r="A35" s="16"/>
      <c r="B35" s="16"/>
      <c r="C35" s="16"/>
      <c r="D35" s="16"/>
      <c r="E35" s="16"/>
      <c r="F35" s="16"/>
      <c r="G35" s="16"/>
      <c r="H35" s="16"/>
      <c r="I35" s="16"/>
    </row>
    <row r="89" spans="13:13" x14ac:dyDescent="0.35">
      <c r="M89" t="s">
        <v>14</v>
      </c>
    </row>
  </sheetData>
  <mergeCells count="31">
    <mergeCell ref="A20:A22"/>
    <mergeCell ref="B20:B22"/>
    <mergeCell ref="C20:C22"/>
    <mergeCell ref="D20:D22"/>
    <mergeCell ref="G23:I23"/>
    <mergeCell ref="L25:M25"/>
    <mergeCell ref="L26:M26"/>
    <mergeCell ref="A27:F27"/>
    <mergeCell ref="L27:M27"/>
    <mergeCell ref="A17:A19"/>
    <mergeCell ref="B17:B19"/>
    <mergeCell ref="C17:C19"/>
    <mergeCell ref="D17:D19"/>
    <mergeCell ref="E17:E19"/>
    <mergeCell ref="E20:E22"/>
    <mergeCell ref="F17:F19"/>
    <mergeCell ref="L23:M23"/>
    <mergeCell ref="G20:G22"/>
    <mergeCell ref="H20:H22"/>
    <mergeCell ref="I20:I22"/>
    <mergeCell ref="L24:M24"/>
    <mergeCell ref="P20:P22"/>
    <mergeCell ref="F20:F22"/>
    <mergeCell ref="M3:O3"/>
    <mergeCell ref="Q4:S4"/>
    <mergeCell ref="T4:W4"/>
    <mergeCell ref="L5:M5"/>
    <mergeCell ref="G17:G19"/>
    <mergeCell ref="H17:H19"/>
    <mergeCell ref="I17:I19"/>
    <mergeCell ref="P17:P19"/>
  </mergeCells>
  <pageMargins left="0.7" right="0.7" top="0.75" bottom="0.75" header="0.3" footer="0.3"/>
  <pageSetup paperSize="9" scale="2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6"/>
  <sheetViews>
    <sheetView topLeftCell="A3" zoomScale="30" zoomScaleNormal="30" workbookViewId="0">
      <selection activeCell="W12" sqref="W12"/>
    </sheetView>
  </sheetViews>
  <sheetFormatPr defaultColWidth="11.453125" defaultRowHeight="14.5" x14ac:dyDescent="0.35"/>
  <cols>
    <col min="1" max="1" width="12.08984375" customWidth="1"/>
    <col min="2" max="2" width="13" customWidth="1"/>
    <col min="3" max="3" width="15.453125" customWidth="1"/>
    <col min="4" max="5" width="14.453125" customWidth="1"/>
    <col min="6" max="6" width="19.90625" customWidth="1"/>
    <col min="7" max="7" width="13.453125" customWidth="1"/>
    <col min="8" max="8" width="13.90625" customWidth="1"/>
    <col min="9" max="9" width="14" customWidth="1"/>
    <col min="10" max="10" width="21.08984375" customWidth="1"/>
    <col min="11" max="11" width="21.453125" customWidth="1"/>
    <col min="12" max="12" width="18" customWidth="1"/>
    <col min="13" max="13" width="20.90625" customWidth="1"/>
    <col min="14" max="14" width="28.453125" customWidth="1"/>
    <col min="15" max="15" width="19" customWidth="1"/>
    <col min="16" max="23" width="9.08984375" customWidth="1"/>
    <col min="24" max="24" width="102.08984375" bestFit="1" customWidth="1"/>
    <col min="25" max="25" width="10.453125" customWidth="1"/>
    <col min="26" max="26" width="10.453125" bestFit="1" customWidth="1"/>
    <col min="27" max="27" width="34.453125" customWidth="1"/>
  </cols>
  <sheetData>
    <row r="1" spans="1:27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</row>
    <row r="2" spans="1:27" ht="33.5" x14ac:dyDescent="0.65">
      <c r="A2" s="84" t="s">
        <v>36</v>
      </c>
      <c r="B2" s="83"/>
      <c r="C2" s="98" t="s">
        <v>291</v>
      </c>
      <c r="D2" s="83"/>
      <c r="H2" s="91" t="s">
        <v>96</v>
      </c>
      <c r="I2" s="193"/>
      <c r="J2" s="556">
        <v>-47.27</v>
      </c>
      <c r="K2" s="89" t="s">
        <v>277</v>
      </c>
      <c r="L2" s="1"/>
      <c r="M2" s="2"/>
      <c r="N2" s="2"/>
      <c r="O2" s="2"/>
    </row>
    <row r="3" spans="1:27" ht="33.5" x14ac:dyDescent="0.75">
      <c r="A3" s="119" t="s">
        <v>136</v>
      </c>
      <c r="B3" s="120"/>
      <c r="C3" s="121">
        <v>4326</v>
      </c>
      <c r="D3" s="122" t="s">
        <v>11</v>
      </c>
      <c r="E3" s="1"/>
      <c r="F3" s="1"/>
      <c r="G3" s="1"/>
      <c r="H3" s="92" t="s">
        <v>97</v>
      </c>
      <c r="I3" s="193"/>
      <c r="J3" s="558">
        <v>59.790999999999997</v>
      </c>
      <c r="K3" s="89" t="s">
        <v>100</v>
      </c>
      <c r="L3" s="1"/>
      <c r="M3" s="880"/>
      <c r="N3" s="880"/>
      <c r="O3" s="880"/>
    </row>
    <row r="4" spans="1:27" ht="28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Q4" s="781" t="s">
        <v>43</v>
      </c>
      <c r="R4" s="782"/>
      <c r="S4" s="782"/>
      <c r="T4" s="782"/>
      <c r="U4" s="783"/>
      <c r="V4" s="494"/>
      <c r="W4" s="494"/>
      <c r="X4" s="13" t="s">
        <v>48</v>
      </c>
    </row>
    <row r="5" spans="1:27" ht="63" thickBot="1" x14ac:dyDescent="0.6">
      <c r="A5" s="10" t="s">
        <v>98</v>
      </c>
      <c r="B5" s="10" t="s">
        <v>0</v>
      </c>
      <c r="C5" s="10" t="s">
        <v>17</v>
      </c>
      <c r="D5" s="10" t="s">
        <v>1</v>
      </c>
      <c r="E5" s="10" t="s">
        <v>2</v>
      </c>
      <c r="F5" s="12" t="s">
        <v>3</v>
      </c>
      <c r="G5" s="360" t="s">
        <v>4</v>
      </c>
      <c r="H5" s="360" t="s">
        <v>5</v>
      </c>
      <c r="I5" s="291" t="s">
        <v>16</v>
      </c>
      <c r="J5" s="290" t="s">
        <v>15</v>
      </c>
      <c r="K5" s="290" t="s">
        <v>66</v>
      </c>
      <c r="L5" s="873" t="s">
        <v>143</v>
      </c>
      <c r="M5" s="874"/>
      <c r="N5" s="291" t="s">
        <v>144</v>
      </c>
      <c r="O5" s="292" t="s">
        <v>8</v>
      </c>
      <c r="P5" s="292" t="s">
        <v>137</v>
      </c>
      <c r="Q5" s="294" t="s">
        <v>41</v>
      </c>
      <c r="R5" s="294" t="s">
        <v>184</v>
      </c>
      <c r="S5" s="294" t="s">
        <v>39</v>
      </c>
      <c r="T5" s="294" t="s">
        <v>40</v>
      </c>
      <c r="U5" s="294" t="s">
        <v>42</v>
      </c>
      <c r="V5" s="294" t="s">
        <v>178</v>
      </c>
      <c r="W5" s="294" t="s">
        <v>233</v>
      </c>
      <c r="X5" s="295"/>
      <c r="AA5" s="251">
        <f>SUM(O6:O13,O16,O19)</f>
        <v>9025.6999999999971</v>
      </c>
    </row>
    <row r="6" spans="1:27" ht="57" customHeight="1" thickBot="1" x14ac:dyDescent="0.4">
      <c r="A6" s="491">
        <v>1</v>
      </c>
      <c r="B6" s="491">
        <v>5</v>
      </c>
      <c r="C6" s="491">
        <v>0.8</v>
      </c>
      <c r="D6" s="492">
        <f>ABS(F6)/C6/60</f>
        <v>0.16666666666666666</v>
      </c>
      <c r="E6" s="492">
        <f>B6+D6</f>
        <v>5.166666666666667</v>
      </c>
      <c r="F6" s="229">
        <v>-8</v>
      </c>
      <c r="G6" s="499">
        <v>1000</v>
      </c>
      <c r="H6" s="491"/>
      <c r="I6" s="493" t="s">
        <v>69</v>
      </c>
      <c r="J6" s="491" t="s">
        <v>135</v>
      </c>
      <c r="K6" s="491" t="s">
        <v>64</v>
      </c>
      <c r="L6" s="300">
        <v>8.1788000000000007</v>
      </c>
      <c r="M6" s="300"/>
      <c r="N6" s="300">
        <v>9.0424000000000007</v>
      </c>
      <c r="O6" s="465">
        <f>(N6-L6)*1000</f>
        <v>863.59999999999991</v>
      </c>
      <c r="P6" s="303"/>
      <c r="Q6" s="188"/>
      <c r="R6" s="188"/>
      <c r="S6" s="188" t="s">
        <v>263</v>
      </c>
      <c r="T6" s="188"/>
      <c r="U6" s="188" t="s">
        <v>263</v>
      </c>
      <c r="V6" s="188" t="s">
        <v>263</v>
      </c>
      <c r="W6" s="188"/>
      <c r="X6" s="172"/>
    </row>
    <row r="7" spans="1:27" ht="66.75" customHeight="1" thickBot="1" x14ac:dyDescent="0.4">
      <c r="A7" s="491">
        <v>2</v>
      </c>
      <c r="B7" s="491">
        <v>5</v>
      </c>
      <c r="C7" s="491">
        <v>0.8</v>
      </c>
      <c r="D7" s="492">
        <f>(F7-F6)/C7/60</f>
        <v>4.166666666666667</v>
      </c>
      <c r="E7" s="492">
        <f>B7+D7+E6</f>
        <v>14.333333333333336</v>
      </c>
      <c r="F7" s="229">
        <f>G6-G7+F6</f>
        <v>192</v>
      </c>
      <c r="G7" s="499">
        <v>800</v>
      </c>
      <c r="H7" s="491"/>
      <c r="I7" s="493" t="s">
        <v>71</v>
      </c>
      <c r="J7" s="491" t="s">
        <v>131</v>
      </c>
      <c r="K7" s="491" t="s">
        <v>240</v>
      </c>
      <c r="L7" s="300">
        <v>75.66</v>
      </c>
      <c r="M7" s="300"/>
      <c r="N7" s="300">
        <v>77.022999999999996</v>
      </c>
      <c r="O7" s="366">
        <f>(N7-L7)*1000</f>
        <v>1362.9999999999995</v>
      </c>
      <c r="P7" s="503"/>
      <c r="Q7" s="185" t="s">
        <v>263</v>
      </c>
      <c r="R7" s="185"/>
      <c r="S7" s="471"/>
      <c r="T7" s="185" t="s">
        <v>263</v>
      </c>
      <c r="U7" s="471"/>
      <c r="V7" s="471"/>
      <c r="W7" s="185"/>
      <c r="X7" s="172"/>
    </row>
    <row r="8" spans="1:27" ht="65.150000000000006" customHeight="1" thickBot="1" x14ac:dyDescent="0.4">
      <c r="A8" s="491">
        <v>3</v>
      </c>
      <c r="B8" s="491">
        <v>5</v>
      </c>
      <c r="C8" s="491">
        <v>0.8</v>
      </c>
      <c r="D8" s="492">
        <f t="shared" ref="D8:D11" si="0">(F8-F7)/C8/60</f>
        <v>6.25</v>
      </c>
      <c r="E8" s="492">
        <f>B8+D8+E7</f>
        <v>25.583333333333336</v>
      </c>
      <c r="F8" s="229">
        <f t="shared" ref="F8:F13" si="1">G7-G8+F7</f>
        <v>492</v>
      </c>
      <c r="G8" s="499">
        <v>500</v>
      </c>
      <c r="H8" s="491"/>
      <c r="I8" s="493" t="s">
        <v>59</v>
      </c>
      <c r="J8" s="491" t="s">
        <v>128</v>
      </c>
      <c r="K8" s="491" t="s">
        <v>64</v>
      </c>
      <c r="L8" s="300">
        <v>36.664000000000001</v>
      </c>
      <c r="M8" s="300"/>
      <c r="N8" s="300">
        <v>37.841000000000001</v>
      </c>
      <c r="O8" s="359">
        <f t="shared" ref="O8:O19" si="2">(N8-L8)*1000</f>
        <v>1176.9999999999995</v>
      </c>
      <c r="P8" s="503"/>
      <c r="Q8" s="185"/>
      <c r="R8" s="185"/>
      <c r="S8" s="188" t="s">
        <v>263</v>
      </c>
      <c r="T8" s="188"/>
      <c r="U8" s="188" t="s">
        <v>263</v>
      </c>
      <c r="V8" s="188" t="s">
        <v>263</v>
      </c>
      <c r="W8" s="185"/>
      <c r="X8" s="172" t="s">
        <v>293</v>
      </c>
    </row>
    <row r="9" spans="1:27" ht="70.5" customHeight="1" thickBot="1" x14ac:dyDescent="0.4">
      <c r="A9" s="491">
        <v>4</v>
      </c>
      <c r="B9" s="491">
        <v>5</v>
      </c>
      <c r="C9" s="491">
        <v>0.8</v>
      </c>
      <c r="D9" s="492">
        <f>(F9-F8)/C9/60</f>
        <v>2.0833333333333335</v>
      </c>
      <c r="E9" s="492">
        <f t="shared" ref="E9:E13" si="3">B9+D9+E8</f>
        <v>32.666666666666671</v>
      </c>
      <c r="F9" s="229">
        <f t="shared" si="1"/>
        <v>592</v>
      </c>
      <c r="G9" s="499">
        <v>400</v>
      </c>
      <c r="H9" s="491"/>
      <c r="I9" s="493" t="s">
        <v>57</v>
      </c>
      <c r="J9" s="491" t="s">
        <v>126</v>
      </c>
      <c r="K9" s="491" t="s">
        <v>240</v>
      </c>
      <c r="L9" s="300">
        <v>32.045000000000002</v>
      </c>
      <c r="M9" s="299"/>
      <c r="N9" s="300">
        <v>33.140999999999998</v>
      </c>
      <c r="O9" s="359">
        <f t="shared" si="2"/>
        <v>1095.9999999999966</v>
      </c>
      <c r="P9" s="464"/>
      <c r="Q9" s="185" t="s">
        <v>263</v>
      </c>
      <c r="R9" s="185"/>
      <c r="S9" s="471"/>
      <c r="T9" s="185" t="s">
        <v>263</v>
      </c>
      <c r="U9" s="180"/>
      <c r="V9" s="185"/>
      <c r="W9" s="185"/>
      <c r="X9" s="172" t="s">
        <v>292</v>
      </c>
    </row>
    <row r="10" spans="1:27" ht="80.900000000000006" customHeight="1" thickBot="1" x14ac:dyDescent="0.4">
      <c r="A10" s="491">
        <v>5</v>
      </c>
      <c r="B10" s="491">
        <v>5</v>
      </c>
      <c r="C10" s="491">
        <v>0.8</v>
      </c>
      <c r="D10" s="492">
        <f t="shared" si="0"/>
        <v>4.166666666666667</v>
      </c>
      <c r="E10" s="492">
        <f t="shared" si="3"/>
        <v>41.833333333333343</v>
      </c>
      <c r="F10" s="229">
        <f t="shared" si="1"/>
        <v>792</v>
      </c>
      <c r="G10" s="499">
        <v>200</v>
      </c>
      <c r="H10" s="491"/>
      <c r="I10" s="493" t="s">
        <v>68</v>
      </c>
      <c r="J10" s="491" t="s">
        <v>134</v>
      </c>
      <c r="K10" s="491" t="s">
        <v>240</v>
      </c>
      <c r="L10" s="300">
        <v>82.085999999999999</v>
      </c>
      <c r="M10" s="300"/>
      <c r="N10" s="300">
        <v>83.17</v>
      </c>
      <c r="O10" s="359">
        <f t="shared" si="2"/>
        <v>1084.0000000000032</v>
      </c>
      <c r="P10" s="503"/>
      <c r="Q10" s="185" t="s">
        <v>263</v>
      </c>
      <c r="R10" s="188" t="s">
        <v>263</v>
      </c>
      <c r="S10" s="471"/>
      <c r="T10" s="185" t="s">
        <v>263</v>
      </c>
      <c r="U10" s="180"/>
      <c r="V10" s="180"/>
      <c r="W10" s="185"/>
      <c r="X10" s="172"/>
    </row>
    <row r="11" spans="1:27" ht="67.5" customHeight="1" thickBot="1" x14ac:dyDescent="0.4">
      <c r="A11" s="491">
        <v>6</v>
      </c>
      <c r="B11" s="491">
        <v>5</v>
      </c>
      <c r="C11" s="491">
        <v>0.8</v>
      </c>
      <c r="D11" s="492">
        <f t="shared" si="0"/>
        <v>1.0416666666666667</v>
      </c>
      <c r="E11" s="492">
        <f>B11+D11+E10</f>
        <v>47.875000000000007</v>
      </c>
      <c r="F11" s="229">
        <f t="shared" si="1"/>
        <v>842</v>
      </c>
      <c r="G11" s="499">
        <v>150</v>
      </c>
      <c r="H11" s="491"/>
      <c r="I11" s="493" t="s">
        <v>61</v>
      </c>
      <c r="J11" s="491" t="s">
        <v>127</v>
      </c>
      <c r="K11" s="491" t="s">
        <v>240</v>
      </c>
      <c r="L11" s="302">
        <v>52.758000000000003</v>
      </c>
      <c r="M11" s="300"/>
      <c r="N11" s="299">
        <v>53.932000000000002</v>
      </c>
      <c r="O11" s="359">
        <f t="shared" si="2"/>
        <v>1173.9999999999995</v>
      </c>
      <c r="P11" s="303"/>
      <c r="Q11" s="185" t="s">
        <v>263</v>
      </c>
      <c r="R11" s="185"/>
      <c r="S11" s="471"/>
      <c r="T11" s="185" t="s">
        <v>263</v>
      </c>
      <c r="U11" s="180"/>
      <c r="V11" s="188"/>
      <c r="W11" s="185"/>
      <c r="X11" s="172"/>
    </row>
    <row r="12" spans="1:27" ht="62.15" customHeight="1" thickBot="1" x14ac:dyDescent="0.4">
      <c r="A12" s="491">
        <v>7</v>
      </c>
      <c r="B12" s="491">
        <v>5</v>
      </c>
      <c r="C12" s="491">
        <v>0.8</v>
      </c>
      <c r="D12" s="492">
        <f>(F12-F11)/C12/60</f>
        <v>0.625</v>
      </c>
      <c r="E12" s="492">
        <f t="shared" si="3"/>
        <v>53.500000000000007</v>
      </c>
      <c r="F12" s="229">
        <f t="shared" si="1"/>
        <v>872</v>
      </c>
      <c r="G12" s="499">
        <v>120</v>
      </c>
      <c r="H12" s="491"/>
      <c r="I12" s="164" t="s">
        <v>60</v>
      </c>
      <c r="J12" s="502" t="s">
        <v>129</v>
      </c>
      <c r="K12" s="491" t="s">
        <v>64</v>
      </c>
      <c r="L12" s="300">
        <v>54.1</v>
      </c>
      <c r="M12" s="300"/>
      <c r="N12" s="300">
        <v>54.819000000000003</v>
      </c>
      <c r="O12" s="359">
        <f t="shared" si="2"/>
        <v>719.00000000000114</v>
      </c>
      <c r="P12" s="503"/>
      <c r="Q12" s="185"/>
      <c r="R12" s="185"/>
      <c r="S12" s="188" t="s">
        <v>263</v>
      </c>
      <c r="T12" s="188"/>
      <c r="U12" s="188" t="s">
        <v>263</v>
      </c>
      <c r="V12" s="188" t="s">
        <v>263</v>
      </c>
      <c r="W12" s="188" t="s">
        <v>263</v>
      </c>
      <c r="X12" s="468" t="s">
        <v>294</v>
      </c>
    </row>
    <row r="13" spans="1:27" ht="61.5" customHeight="1" thickBot="1" x14ac:dyDescent="0.4">
      <c r="A13" s="491">
        <v>8</v>
      </c>
      <c r="B13" s="491">
        <v>5</v>
      </c>
      <c r="C13" s="491">
        <v>0.8</v>
      </c>
      <c r="D13" s="492">
        <f>(F13-F12)/C13/60</f>
        <v>0.41666666666666669</v>
      </c>
      <c r="E13" s="492">
        <f t="shared" si="3"/>
        <v>58.916666666666671</v>
      </c>
      <c r="F13" s="229">
        <f t="shared" si="1"/>
        <v>892</v>
      </c>
      <c r="G13" s="499">
        <v>100</v>
      </c>
      <c r="H13" s="491"/>
      <c r="I13" s="493" t="s">
        <v>67</v>
      </c>
      <c r="J13" s="502" t="s">
        <v>133</v>
      </c>
      <c r="K13" s="491" t="s">
        <v>240</v>
      </c>
      <c r="L13" s="300">
        <v>79.19</v>
      </c>
      <c r="M13" s="300"/>
      <c r="N13" s="300">
        <v>80.001999999999995</v>
      </c>
      <c r="O13" s="465">
        <f>(N13-L13)*1000</f>
        <v>811.99999999999761</v>
      </c>
      <c r="P13" s="303"/>
      <c r="Q13" s="185" t="s">
        <v>263</v>
      </c>
      <c r="R13" s="185"/>
      <c r="S13" s="471"/>
      <c r="T13" s="185" t="s">
        <v>263</v>
      </c>
      <c r="U13" s="185"/>
      <c r="V13" s="185"/>
      <c r="W13" s="185"/>
      <c r="X13" s="468"/>
    </row>
    <row r="14" spans="1:27" ht="51" customHeight="1" x14ac:dyDescent="0.6">
      <c r="A14" s="806">
        <v>9</v>
      </c>
      <c r="B14" s="806">
        <v>5</v>
      </c>
      <c r="C14" s="806">
        <v>0.8</v>
      </c>
      <c r="D14" s="807">
        <f>(F14-F13)/C14/60</f>
        <v>0.83333333333333337</v>
      </c>
      <c r="E14" s="807">
        <f>B14+D14+B14</f>
        <v>10.833333333333332</v>
      </c>
      <c r="F14" s="858">
        <f>G13-G14+F13</f>
        <v>932</v>
      </c>
      <c r="G14" s="861">
        <v>60</v>
      </c>
      <c r="H14" s="806"/>
      <c r="I14" s="759" t="s">
        <v>27</v>
      </c>
      <c r="J14" s="498" t="s">
        <v>150</v>
      </c>
      <c r="K14" s="296" t="s">
        <v>64</v>
      </c>
      <c r="L14" s="288">
        <v>5.7923999999999998</v>
      </c>
      <c r="M14" s="297"/>
      <c r="N14" s="288">
        <v>5.9671000000000003</v>
      </c>
      <c r="O14" s="359">
        <f t="shared" si="2"/>
        <v>174.70000000000053</v>
      </c>
      <c r="P14" s="875"/>
      <c r="Q14" s="298"/>
      <c r="R14" s="298"/>
      <c r="S14" s="298" t="s">
        <v>263</v>
      </c>
      <c r="T14" s="298"/>
      <c r="U14" s="183" t="s">
        <v>263</v>
      </c>
      <c r="V14" s="183" t="s">
        <v>263</v>
      </c>
      <c r="W14" s="183" t="s">
        <v>263</v>
      </c>
      <c r="X14" s="369" t="s">
        <v>295</v>
      </c>
      <c r="AA14" s="120"/>
    </row>
    <row r="15" spans="1:27" ht="55.5" customHeight="1" x14ac:dyDescent="0.35">
      <c r="A15" s="742"/>
      <c r="B15" s="742"/>
      <c r="C15" s="742"/>
      <c r="D15" s="789"/>
      <c r="E15" s="789"/>
      <c r="F15" s="791">
        <f t="shared" ref="F15:F19" si="4">G14-G15-$F$25</f>
        <v>52</v>
      </c>
      <c r="G15" s="862"/>
      <c r="H15" s="742"/>
      <c r="I15" s="760"/>
      <c r="J15" s="496" t="s">
        <v>151</v>
      </c>
      <c r="K15" s="176" t="s">
        <v>240</v>
      </c>
      <c r="L15" s="287">
        <v>7.7192999999999996</v>
      </c>
      <c r="M15" s="287"/>
      <c r="N15" s="287">
        <v>7.9847999999999999</v>
      </c>
      <c r="O15" s="362">
        <f t="shared" si="2"/>
        <v>265.50000000000028</v>
      </c>
      <c r="P15" s="876"/>
      <c r="Q15" s="183" t="s">
        <v>263</v>
      </c>
      <c r="R15" s="138"/>
      <c r="S15" s="138"/>
      <c r="T15" s="183" t="s">
        <v>263</v>
      </c>
      <c r="U15" s="183"/>
      <c r="V15" s="183"/>
      <c r="W15" s="183"/>
      <c r="X15" s="368" t="s">
        <v>296</v>
      </c>
    </row>
    <row r="16" spans="1:27" ht="52.5" customHeight="1" thickBot="1" x14ac:dyDescent="0.4">
      <c r="A16" s="743"/>
      <c r="B16" s="743"/>
      <c r="C16" s="743"/>
      <c r="D16" s="790"/>
      <c r="E16" s="790"/>
      <c r="F16" s="792">
        <f t="shared" si="4"/>
        <v>-8</v>
      </c>
      <c r="G16" s="863"/>
      <c r="H16" s="743"/>
      <c r="I16" s="761"/>
      <c r="J16" s="497" t="s">
        <v>179</v>
      </c>
      <c r="K16" s="497"/>
      <c r="L16" s="299">
        <v>13.232799999999999</v>
      </c>
      <c r="M16" s="299"/>
      <c r="N16" s="299">
        <v>13.6694</v>
      </c>
      <c r="O16" s="366">
        <f t="shared" si="2"/>
        <v>436.60000000000031</v>
      </c>
      <c r="P16" s="877"/>
      <c r="Q16" s="185"/>
      <c r="R16" s="185"/>
      <c r="S16" s="185"/>
      <c r="T16" s="185"/>
      <c r="U16" s="180"/>
      <c r="V16" s="180"/>
      <c r="W16" s="185"/>
      <c r="X16" s="171"/>
    </row>
    <row r="17" spans="1:26" ht="53.9" customHeight="1" x14ac:dyDescent="0.35">
      <c r="A17" s="742">
        <v>10</v>
      </c>
      <c r="B17" s="742">
        <v>5</v>
      </c>
      <c r="C17" s="806">
        <v>0.8</v>
      </c>
      <c r="D17" s="807">
        <f>(F17-F14)/C17/60</f>
        <v>0.625</v>
      </c>
      <c r="E17" s="789">
        <f>E14+B17+D17</f>
        <v>16.458333333333332</v>
      </c>
      <c r="F17" s="858">
        <f>G14-G17+F14</f>
        <v>962</v>
      </c>
      <c r="G17" s="862">
        <v>30</v>
      </c>
      <c r="H17" s="742"/>
      <c r="I17" s="759" t="s">
        <v>23</v>
      </c>
      <c r="J17" s="495" t="s">
        <v>150</v>
      </c>
      <c r="K17" s="175" t="s">
        <v>64</v>
      </c>
      <c r="L17" s="297">
        <v>5.4878</v>
      </c>
      <c r="M17" s="364"/>
      <c r="N17" s="288">
        <v>5.5989000000000004</v>
      </c>
      <c r="O17" s="359">
        <f t="shared" si="2"/>
        <v>111.10000000000042</v>
      </c>
      <c r="P17" s="876"/>
      <c r="Q17" s="181"/>
      <c r="R17" s="289"/>
      <c r="S17" s="340" t="s">
        <v>263</v>
      </c>
      <c r="T17" s="340"/>
      <c r="U17" s="183" t="s">
        <v>263</v>
      </c>
      <c r="V17" s="183" t="s">
        <v>263</v>
      </c>
      <c r="W17" s="183" t="s">
        <v>263</v>
      </c>
      <c r="X17" s="370" t="s">
        <v>297</v>
      </c>
    </row>
    <row r="18" spans="1:26" ht="57.75" customHeight="1" x14ac:dyDescent="0.35">
      <c r="A18" s="742"/>
      <c r="B18" s="742"/>
      <c r="C18" s="742"/>
      <c r="D18" s="789"/>
      <c r="E18" s="789"/>
      <c r="F18" s="791">
        <f t="shared" si="4"/>
        <v>22</v>
      </c>
      <c r="G18" s="742"/>
      <c r="H18" s="742"/>
      <c r="I18" s="760"/>
      <c r="J18" s="496" t="s">
        <v>151</v>
      </c>
      <c r="K18" s="176" t="s">
        <v>240</v>
      </c>
      <c r="L18" s="287">
        <v>7.2630999999999997</v>
      </c>
      <c r="M18" s="363"/>
      <c r="N18" s="287">
        <v>7.4532999999999996</v>
      </c>
      <c r="O18" s="362">
        <f t="shared" si="2"/>
        <v>190.19999999999993</v>
      </c>
      <c r="P18" s="876"/>
      <c r="Q18" s="183" t="s">
        <v>263</v>
      </c>
      <c r="R18" s="183" t="s">
        <v>263</v>
      </c>
      <c r="S18" s="138"/>
      <c r="T18" s="183" t="s">
        <v>263</v>
      </c>
      <c r="U18" s="183"/>
      <c r="V18" s="183"/>
      <c r="W18" s="183"/>
      <c r="X18" s="368"/>
    </row>
    <row r="19" spans="1:26" ht="64.5" customHeight="1" thickBot="1" x14ac:dyDescent="0.4">
      <c r="A19" s="743"/>
      <c r="B19" s="743"/>
      <c r="C19" s="743"/>
      <c r="D19" s="790"/>
      <c r="E19" s="790"/>
      <c r="F19" s="792">
        <f t="shared" si="4"/>
        <v>-8</v>
      </c>
      <c r="G19" s="743"/>
      <c r="H19" s="743"/>
      <c r="I19" s="761"/>
      <c r="J19" s="497" t="s">
        <v>179</v>
      </c>
      <c r="K19" s="497"/>
      <c r="L19" s="299">
        <v>12.5761</v>
      </c>
      <c r="M19" s="365"/>
      <c r="N19" s="299">
        <v>12.8766</v>
      </c>
      <c r="O19" s="490">
        <f t="shared" si="2"/>
        <v>300.49999999999955</v>
      </c>
      <c r="P19" s="877"/>
      <c r="Q19" s="180"/>
      <c r="R19" s="180"/>
      <c r="S19" s="180"/>
      <c r="T19" s="180"/>
      <c r="U19" s="180"/>
      <c r="V19" s="180"/>
      <c r="W19" s="185"/>
      <c r="X19" s="171"/>
    </row>
    <row r="20" spans="1:26" ht="40.5" thickBot="1" x14ac:dyDescent="0.6">
      <c r="A20" s="24" t="s">
        <v>10</v>
      </c>
      <c r="B20" s="495">
        <f>SUM(B6:B19)</f>
        <v>50</v>
      </c>
      <c r="C20" s="495"/>
      <c r="D20" s="501">
        <f>SUM(D6:D19)</f>
        <v>20.375000000000004</v>
      </c>
      <c r="E20" s="501">
        <f>D20+B20</f>
        <v>70.375</v>
      </c>
      <c r="F20" s="144">
        <f>G6</f>
        <v>1000</v>
      </c>
      <c r="G20" s="827" t="s">
        <v>18</v>
      </c>
      <c r="H20" s="856"/>
      <c r="I20" s="856"/>
      <c r="J20" s="9"/>
      <c r="K20" s="145" t="s">
        <v>103</v>
      </c>
      <c r="L20" s="838" t="s">
        <v>102</v>
      </c>
      <c r="M20" s="855"/>
      <c r="N20" s="252" t="s">
        <v>53</v>
      </c>
      <c r="O20" s="22"/>
    </row>
    <row r="21" spans="1:26" ht="46" x14ac:dyDescent="0.35">
      <c r="A21" s="26" t="s">
        <v>12</v>
      </c>
      <c r="B21" s="496">
        <f>B20/60</f>
        <v>0.83333333333333337</v>
      </c>
      <c r="C21" s="496"/>
      <c r="D21" s="500" t="s">
        <v>14</v>
      </c>
      <c r="E21" s="500"/>
      <c r="F21" s="253"/>
      <c r="J21" s="95" t="s">
        <v>145</v>
      </c>
      <c r="K21" s="30">
        <v>44209</v>
      </c>
      <c r="L21" s="883">
        <v>0.45833333333333331</v>
      </c>
      <c r="M21" s="884"/>
      <c r="N21" s="367">
        <v>0.20833333333333334</v>
      </c>
      <c r="O21" s="22"/>
      <c r="T21" s="505" t="s">
        <v>298</v>
      </c>
      <c r="Z21">
        <v>1</v>
      </c>
    </row>
    <row r="22" spans="1:26" ht="46" x14ac:dyDescent="0.35">
      <c r="J22" s="96" t="s">
        <v>45</v>
      </c>
      <c r="K22" s="30">
        <v>44209</v>
      </c>
      <c r="L22" s="881">
        <v>0.52083333333333337</v>
      </c>
      <c r="M22" s="885"/>
      <c r="N22" s="367">
        <v>0.35416666666666669</v>
      </c>
      <c r="O22" s="22"/>
    </row>
    <row r="23" spans="1:26" ht="46" x14ac:dyDescent="0.35">
      <c r="A23" s="1"/>
      <c r="B23" s="1"/>
      <c r="C23" s="1"/>
      <c r="D23" s="1"/>
      <c r="E23" s="1"/>
      <c r="F23" s="1"/>
      <c r="G23" s="1"/>
      <c r="J23" s="96" t="s">
        <v>46</v>
      </c>
      <c r="K23" s="30">
        <v>44209</v>
      </c>
      <c r="L23" s="881">
        <v>0.64583333333333337</v>
      </c>
      <c r="M23" s="882"/>
      <c r="N23" s="367">
        <v>0.47916666666666669</v>
      </c>
      <c r="O23" s="22"/>
    </row>
    <row r="24" spans="1:26" ht="46" x14ac:dyDescent="0.35">
      <c r="A24" s="857" t="s">
        <v>52</v>
      </c>
      <c r="B24" s="857"/>
      <c r="C24" s="857"/>
      <c r="D24" s="857"/>
      <c r="E24" s="857"/>
      <c r="F24" s="857"/>
      <c r="J24" s="96" t="s">
        <v>47</v>
      </c>
      <c r="K24" s="30">
        <v>44209</v>
      </c>
      <c r="L24" s="881">
        <v>0.6875</v>
      </c>
      <c r="M24" s="882"/>
      <c r="N24" s="367">
        <v>0.52083333333333337</v>
      </c>
      <c r="O24" s="22"/>
    </row>
    <row r="25" spans="1:26" ht="20" x14ac:dyDescent="0.4">
      <c r="A25" s="17" t="s">
        <v>51</v>
      </c>
      <c r="B25" s="17"/>
      <c r="C25" s="17"/>
      <c r="F25" s="9">
        <v>8</v>
      </c>
      <c r="G25" s="20" t="s">
        <v>11</v>
      </c>
      <c r="J25" s="17"/>
      <c r="K25" s="19"/>
      <c r="O25" s="22"/>
    </row>
    <row r="26" spans="1:26" ht="60" x14ac:dyDescent="0.6">
      <c r="A26" s="120" t="s">
        <v>168</v>
      </c>
      <c r="F26" s="145"/>
      <c r="G26" s="17" t="s">
        <v>169</v>
      </c>
      <c r="J26" s="10" t="s">
        <v>50</v>
      </c>
      <c r="K26" s="31">
        <f>E20+F26</f>
        <v>70.375</v>
      </c>
      <c r="O26" s="22"/>
    </row>
    <row r="27" spans="1:26" ht="60" x14ac:dyDescent="0.7">
      <c r="A27" s="146"/>
      <c r="C27" s="120"/>
      <c r="F27" s="17"/>
      <c r="G27" s="17"/>
      <c r="H27" s="17"/>
      <c r="I27" s="15"/>
      <c r="J27" s="10" t="s">
        <v>49</v>
      </c>
      <c r="K27" s="31">
        <f>D20+5*A17+F26</f>
        <v>70.375</v>
      </c>
      <c r="O27" s="22"/>
    </row>
    <row r="28" spans="1:26" ht="29.5" x14ac:dyDescent="0.55000000000000004">
      <c r="A28" s="147"/>
      <c r="B28" s="20"/>
      <c r="C28" s="17"/>
      <c r="I28" s="9"/>
      <c r="J28" s="1"/>
      <c r="K28" s="1"/>
      <c r="L28" s="1"/>
      <c r="M28" s="2"/>
    </row>
    <row r="29" spans="1:26" ht="20" x14ac:dyDescent="0.4">
      <c r="C29" s="17"/>
      <c r="D29" s="17"/>
      <c r="E29" s="17" t="s">
        <v>14</v>
      </c>
      <c r="F29" s="17"/>
      <c r="I29" s="15"/>
      <c r="J29" s="1"/>
      <c r="K29" s="1"/>
      <c r="L29" s="1"/>
      <c r="M29" s="2"/>
    </row>
    <row r="30" spans="1:26" ht="20" x14ac:dyDescent="0.4">
      <c r="A30" s="19"/>
      <c r="B30" s="20"/>
      <c r="C30" s="17"/>
      <c r="D30" s="17"/>
      <c r="E30" s="23"/>
      <c r="F30" s="17"/>
      <c r="G30" s="17"/>
      <c r="H30" s="17"/>
      <c r="I30" s="15"/>
      <c r="J30" s="1"/>
      <c r="K30" s="1"/>
      <c r="L30" s="1"/>
      <c r="M30" s="2"/>
      <c r="N30" s="2"/>
      <c r="O30" s="2"/>
    </row>
    <row r="31" spans="1:26" ht="20" x14ac:dyDescent="0.4">
      <c r="A31" s="19"/>
      <c r="B31" s="20"/>
      <c r="C31" s="17"/>
      <c r="D31" s="17"/>
      <c r="E31" s="17"/>
      <c r="F31" s="17"/>
      <c r="G31" s="17"/>
      <c r="H31" s="17"/>
      <c r="I31" s="15"/>
      <c r="J31" s="1"/>
      <c r="K31" s="1"/>
      <c r="L31" s="1"/>
      <c r="M31" s="2"/>
    </row>
    <row r="32" spans="1:26" ht="18.5" x14ac:dyDescent="0.45">
      <c r="A32" s="16"/>
      <c r="B32" s="16"/>
      <c r="C32" s="16"/>
      <c r="D32" s="16"/>
      <c r="E32" s="16"/>
      <c r="F32" s="16"/>
      <c r="G32" s="16"/>
      <c r="H32" s="16"/>
      <c r="I32" s="16"/>
    </row>
    <row r="86" spans="13:13" x14ac:dyDescent="0.35">
      <c r="M86" t="s">
        <v>14</v>
      </c>
    </row>
  </sheetData>
  <mergeCells count="30">
    <mergeCell ref="A24:F24"/>
    <mergeCell ref="L24:M24"/>
    <mergeCell ref="G20:I20"/>
    <mergeCell ref="L20:M20"/>
    <mergeCell ref="L21:M21"/>
    <mergeCell ref="L22:M22"/>
    <mergeCell ref="L23:M23"/>
    <mergeCell ref="F17:F19"/>
    <mergeCell ref="G17:G19"/>
    <mergeCell ref="H17:H19"/>
    <mergeCell ref="I17:I19"/>
    <mergeCell ref="P17:P19"/>
    <mergeCell ref="A17:A19"/>
    <mergeCell ref="B17:B19"/>
    <mergeCell ref="C17:C19"/>
    <mergeCell ref="D17:D19"/>
    <mergeCell ref="E17:E19"/>
    <mergeCell ref="M3:O3"/>
    <mergeCell ref="Q4:U4"/>
    <mergeCell ref="L5:M5"/>
    <mergeCell ref="A14:A16"/>
    <mergeCell ref="B14:B16"/>
    <mergeCell ref="C14:C16"/>
    <mergeCell ref="D14:D16"/>
    <mergeCell ref="E14:E16"/>
    <mergeCell ref="F14:F16"/>
    <mergeCell ref="G14:G16"/>
    <mergeCell ref="H14:H16"/>
    <mergeCell ref="I14:I16"/>
    <mergeCell ref="P14:P16"/>
  </mergeCells>
  <pageMargins left="0.7" right="0.7" top="0.75" bottom="0.75" header="0.3" footer="0.3"/>
  <pageSetup paperSize="9" scale="2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9"/>
  <sheetViews>
    <sheetView topLeftCell="A5" zoomScale="30" zoomScaleNormal="30" workbookViewId="0">
      <selection activeCell="Z6" sqref="Z6:Z22"/>
    </sheetView>
  </sheetViews>
  <sheetFormatPr defaultColWidth="11.453125" defaultRowHeight="14.5" x14ac:dyDescent="0.35"/>
  <cols>
    <col min="1" max="1" width="12.08984375" customWidth="1"/>
    <col min="2" max="2" width="13" customWidth="1"/>
    <col min="3" max="3" width="15.453125" customWidth="1"/>
    <col min="4" max="5" width="14.453125" customWidth="1"/>
    <col min="6" max="6" width="19.90625" customWidth="1"/>
    <col min="7" max="7" width="13.453125" customWidth="1"/>
    <col min="8" max="8" width="13.90625" customWidth="1"/>
    <col min="9" max="9" width="14" customWidth="1"/>
    <col min="10" max="10" width="21.08984375" customWidth="1"/>
    <col min="11" max="11" width="21.453125" customWidth="1"/>
    <col min="12" max="12" width="18" customWidth="1"/>
    <col min="13" max="13" width="20.90625" customWidth="1"/>
    <col min="14" max="14" width="28.453125" customWidth="1"/>
    <col min="15" max="15" width="19" customWidth="1"/>
    <col min="16" max="26" width="9.08984375" customWidth="1"/>
    <col min="27" max="27" width="85.453125" customWidth="1"/>
    <col min="28" max="28" width="10.453125" customWidth="1"/>
    <col min="29" max="29" width="10.453125" bestFit="1" customWidth="1"/>
    <col min="30" max="30" width="34.453125" customWidth="1"/>
  </cols>
  <sheetData>
    <row r="1" spans="1:30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525"/>
      <c r="P1" s="22"/>
      <c r="Q1" s="22"/>
    </row>
    <row r="2" spans="1:30" ht="33.5" x14ac:dyDescent="0.65">
      <c r="A2" s="84" t="s">
        <v>36</v>
      </c>
      <c r="B2" s="83"/>
      <c r="C2" s="98" t="s">
        <v>300</v>
      </c>
      <c r="D2" s="83"/>
      <c r="H2" s="91" t="s">
        <v>96</v>
      </c>
      <c r="I2" s="193"/>
      <c r="J2" s="556">
        <v>-50.701999999999998</v>
      </c>
      <c r="K2" s="89" t="s">
        <v>277</v>
      </c>
      <c r="L2" s="1"/>
      <c r="M2" s="2"/>
      <c r="N2" s="2"/>
      <c r="O2" s="2"/>
    </row>
    <row r="3" spans="1:30" ht="33.5" x14ac:dyDescent="0.75">
      <c r="A3" s="119" t="s">
        <v>136</v>
      </c>
      <c r="B3" s="120"/>
      <c r="C3" s="121">
        <v>1690</v>
      </c>
      <c r="D3" s="122" t="s">
        <v>11</v>
      </c>
      <c r="E3" s="529"/>
      <c r="F3" s="1"/>
      <c r="G3" s="1"/>
      <c r="H3" s="92" t="s">
        <v>97</v>
      </c>
      <c r="I3" s="193"/>
      <c r="J3" s="558">
        <v>68.497</v>
      </c>
      <c r="K3" s="89" t="s">
        <v>100</v>
      </c>
      <c r="L3" s="1"/>
      <c r="M3" s="880"/>
      <c r="N3" s="880"/>
      <c r="O3" s="880"/>
    </row>
    <row r="4" spans="1:30" ht="28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Q4" s="778" t="s">
        <v>38</v>
      </c>
      <c r="R4" s="779"/>
      <c r="S4" s="780"/>
      <c r="T4" s="781" t="s">
        <v>43</v>
      </c>
      <c r="U4" s="782"/>
      <c r="V4" s="782"/>
      <c r="W4" s="782"/>
      <c r="X4" s="783"/>
      <c r="Y4" s="509"/>
      <c r="Z4" s="509"/>
      <c r="AA4" s="13" t="s">
        <v>48</v>
      </c>
    </row>
    <row r="5" spans="1:30" ht="63" thickBot="1" x14ac:dyDescent="0.65">
      <c r="A5" s="10" t="s">
        <v>98</v>
      </c>
      <c r="B5" s="10" t="s">
        <v>0</v>
      </c>
      <c r="C5" s="10" t="s">
        <v>17</v>
      </c>
      <c r="D5" s="10" t="s">
        <v>1</v>
      </c>
      <c r="E5" s="10" t="s">
        <v>2</v>
      </c>
      <c r="F5" s="12" t="s">
        <v>3</v>
      </c>
      <c r="G5" s="360" t="s">
        <v>4</v>
      </c>
      <c r="H5" s="360" t="s">
        <v>5</v>
      </c>
      <c r="I5" s="291" t="s">
        <v>16</v>
      </c>
      <c r="J5" s="290" t="s">
        <v>15</v>
      </c>
      <c r="K5" s="290" t="s">
        <v>66</v>
      </c>
      <c r="L5" s="873" t="s">
        <v>143</v>
      </c>
      <c r="M5" s="874"/>
      <c r="N5" s="291" t="s">
        <v>144</v>
      </c>
      <c r="O5" s="292" t="s">
        <v>8</v>
      </c>
      <c r="P5" s="292" t="s">
        <v>137</v>
      </c>
      <c r="Q5" s="293" t="s">
        <v>42</v>
      </c>
      <c r="R5" s="293" t="s">
        <v>37</v>
      </c>
      <c r="S5" s="293" t="s">
        <v>44</v>
      </c>
      <c r="T5" s="294" t="s">
        <v>41</v>
      </c>
      <c r="U5" s="294" t="s">
        <v>184</v>
      </c>
      <c r="V5" s="294" t="s">
        <v>39</v>
      </c>
      <c r="W5" s="294" t="s">
        <v>40</v>
      </c>
      <c r="X5" s="294" t="s">
        <v>42</v>
      </c>
      <c r="Y5" s="294" t="s">
        <v>178</v>
      </c>
      <c r="Z5" s="294" t="s">
        <v>233</v>
      </c>
      <c r="AA5" s="295"/>
      <c r="AD5" s="120">
        <f>SUM(O6:O8,O11:O19,O22)</f>
        <v>7527.7999999999811</v>
      </c>
    </row>
    <row r="6" spans="1:30" ht="57" customHeight="1" thickBot="1" x14ac:dyDescent="0.4">
      <c r="A6" s="506">
        <v>1</v>
      </c>
      <c r="B6" s="506">
        <v>5</v>
      </c>
      <c r="C6" s="506">
        <v>0.8</v>
      </c>
      <c r="D6" s="507">
        <f>ABS(F6)/C6/60</f>
        <v>0.16666666666666666</v>
      </c>
      <c r="E6" s="507">
        <f>B6+D6</f>
        <v>5.166666666666667</v>
      </c>
      <c r="F6" s="229">
        <v>-8</v>
      </c>
      <c r="G6" s="530">
        <f>C3-50</f>
        <v>1640</v>
      </c>
      <c r="H6" s="419"/>
      <c r="I6" s="526" t="s">
        <v>186</v>
      </c>
      <c r="J6" s="522" t="s">
        <v>130</v>
      </c>
      <c r="K6" s="522" t="s">
        <v>278</v>
      </c>
      <c r="L6" s="300">
        <v>13.457000000000001</v>
      </c>
      <c r="M6" s="300"/>
      <c r="N6" s="300">
        <v>14.342000000000001</v>
      </c>
      <c r="O6" s="359">
        <f>(N6-L6)*1000</f>
        <v>884.99999999999977</v>
      </c>
      <c r="P6" s="532" t="s">
        <v>205</v>
      </c>
      <c r="Q6" s="180" t="s">
        <v>263</v>
      </c>
      <c r="R6" s="180"/>
      <c r="S6" s="180"/>
      <c r="T6" s="180"/>
      <c r="U6" s="180"/>
      <c r="V6" s="180"/>
      <c r="W6" s="180"/>
      <c r="X6" s="180"/>
      <c r="Y6" s="180"/>
      <c r="Z6" s="180"/>
      <c r="AA6" s="172" t="s">
        <v>264</v>
      </c>
    </row>
    <row r="7" spans="1:30" ht="66.75" customHeight="1" thickBot="1" x14ac:dyDescent="0.4">
      <c r="A7" s="506">
        <v>2</v>
      </c>
      <c r="B7" s="506">
        <v>5</v>
      </c>
      <c r="C7" s="506">
        <v>0.8</v>
      </c>
      <c r="D7" s="507">
        <f>(F7-F6)/C7/60</f>
        <v>0.41666666666666669</v>
      </c>
      <c r="E7" s="507">
        <f>B7+D7+E6</f>
        <v>10.583333333333334</v>
      </c>
      <c r="F7" s="229">
        <f>G6-G7+F6</f>
        <v>12</v>
      </c>
      <c r="G7" s="513">
        <f>G6-20</f>
        <v>1620</v>
      </c>
      <c r="H7" s="506"/>
      <c r="I7" s="250" t="s">
        <v>21</v>
      </c>
      <c r="J7" s="522" t="s">
        <v>149</v>
      </c>
      <c r="K7" s="522" t="s">
        <v>279</v>
      </c>
      <c r="L7" s="300">
        <v>17.212</v>
      </c>
      <c r="M7" s="300"/>
      <c r="N7" s="300">
        <v>17.236000000000001</v>
      </c>
      <c r="O7" s="359">
        <f>(N7-L7)*1000</f>
        <v>24.000000000000909</v>
      </c>
      <c r="P7" s="471"/>
      <c r="Q7" s="471"/>
      <c r="R7" s="180"/>
      <c r="S7" s="180"/>
      <c r="T7" s="180"/>
      <c r="U7" s="180"/>
      <c r="V7" s="180" t="s">
        <v>263</v>
      </c>
      <c r="W7" s="180"/>
      <c r="X7" s="180" t="s">
        <v>263</v>
      </c>
      <c r="Y7" s="180" t="s">
        <v>263</v>
      </c>
      <c r="Z7" s="180"/>
      <c r="AA7" s="172" t="s">
        <v>301</v>
      </c>
    </row>
    <row r="8" spans="1:30" ht="65.150000000000006" customHeight="1" thickBot="1" x14ac:dyDescent="0.4">
      <c r="A8" s="506">
        <v>3</v>
      </c>
      <c r="B8" s="506">
        <v>5</v>
      </c>
      <c r="C8" s="506">
        <v>0.8</v>
      </c>
      <c r="D8" s="507">
        <f>(F8-F7)/C8/60</f>
        <v>12.916666666666666</v>
      </c>
      <c r="E8" s="507">
        <f>B8+D8+E7</f>
        <v>28.5</v>
      </c>
      <c r="F8" s="229">
        <f>G7-G8+F7</f>
        <v>632</v>
      </c>
      <c r="G8" s="513">
        <v>1000</v>
      </c>
      <c r="H8" s="506"/>
      <c r="I8" s="537" t="s">
        <v>69</v>
      </c>
      <c r="J8" s="533" t="s">
        <v>135</v>
      </c>
      <c r="K8" s="522" t="s">
        <v>278</v>
      </c>
      <c r="L8" s="300">
        <v>9.0441000000000003</v>
      </c>
      <c r="M8" s="300"/>
      <c r="N8" s="300">
        <v>9.8032000000000004</v>
      </c>
      <c r="O8" s="359">
        <f t="shared" ref="O8:O22" si="0">(N8-L8)*1000</f>
        <v>759.10000000000014</v>
      </c>
      <c r="P8" s="528" t="s">
        <v>205</v>
      </c>
      <c r="Q8" s="185" t="s">
        <v>263</v>
      </c>
      <c r="R8" s="180"/>
      <c r="S8" s="180"/>
      <c r="T8" s="180"/>
      <c r="U8" s="180"/>
      <c r="V8" s="180"/>
      <c r="W8" s="180"/>
      <c r="X8" s="180"/>
      <c r="Y8" s="180"/>
      <c r="Z8" s="180"/>
      <c r="AA8" s="172" t="s">
        <v>302</v>
      </c>
    </row>
    <row r="9" spans="1:30" ht="51" customHeight="1" x14ac:dyDescent="0.6">
      <c r="A9" s="806">
        <v>4</v>
      </c>
      <c r="B9" s="806">
        <v>5</v>
      </c>
      <c r="C9" s="806">
        <v>0.8</v>
      </c>
      <c r="D9" s="807">
        <f>(F9-F8)/C9/60</f>
        <v>4.166666666666667</v>
      </c>
      <c r="E9" s="807">
        <f>E8+D9+B9</f>
        <v>37.666666666666664</v>
      </c>
      <c r="F9" s="858">
        <f>G8-G9+F8</f>
        <v>832</v>
      </c>
      <c r="G9" s="861">
        <v>800</v>
      </c>
      <c r="H9" s="806"/>
      <c r="I9" s="760" t="s">
        <v>27</v>
      </c>
      <c r="J9" s="524" t="s">
        <v>150</v>
      </c>
      <c r="K9" s="534" t="s">
        <v>279</v>
      </c>
      <c r="L9" s="288">
        <v>5.9672999999999998</v>
      </c>
      <c r="M9" s="297"/>
      <c r="N9" s="288">
        <v>6.4794</v>
      </c>
      <c r="O9" s="359">
        <f>(N9-L9)*1000</f>
        <v>512.10000000000025</v>
      </c>
      <c r="P9" s="896"/>
      <c r="Q9" s="298"/>
      <c r="R9" s="298"/>
      <c r="S9" s="298"/>
      <c r="T9" s="298"/>
      <c r="U9" s="298"/>
      <c r="V9" s="298" t="s">
        <v>263</v>
      </c>
      <c r="W9" s="298"/>
      <c r="X9" s="298" t="s">
        <v>263</v>
      </c>
      <c r="Y9" s="298" t="s">
        <v>263</v>
      </c>
      <c r="Z9" s="298"/>
      <c r="AA9" s="369"/>
      <c r="AD9" s="120"/>
    </row>
    <row r="10" spans="1:30" ht="55.5" customHeight="1" x14ac:dyDescent="0.35">
      <c r="A10" s="742"/>
      <c r="B10" s="742"/>
      <c r="C10" s="742"/>
      <c r="D10" s="789"/>
      <c r="E10" s="789"/>
      <c r="F10" s="791">
        <f>G9-G10-$F$28</f>
        <v>792</v>
      </c>
      <c r="G10" s="862"/>
      <c r="H10" s="742"/>
      <c r="I10" s="760"/>
      <c r="J10" s="520" t="s">
        <v>151</v>
      </c>
      <c r="K10" s="535" t="s">
        <v>240</v>
      </c>
      <c r="L10" s="287">
        <v>7.9847000000000001</v>
      </c>
      <c r="M10" s="287"/>
      <c r="N10" s="287">
        <v>8.7959999999999994</v>
      </c>
      <c r="O10" s="362">
        <f>(N10-L10)*1000</f>
        <v>811.29999999999927</v>
      </c>
      <c r="P10" s="897"/>
      <c r="Q10" s="138"/>
      <c r="R10" s="183"/>
      <c r="S10" s="183"/>
      <c r="T10" s="183" t="s">
        <v>263</v>
      </c>
      <c r="U10" s="183"/>
      <c r="V10" s="183"/>
      <c r="W10" s="183" t="s">
        <v>263</v>
      </c>
      <c r="X10" s="138"/>
      <c r="Y10" s="183"/>
      <c r="Z10" s="183"/>
      <c r="AA10" s="368"/>
    </row>
    <row r="11" spans="1:30" ht="52.5" customHeight="1" thickBot="1" x14ac:dyDescent="0.4">
      <c r="A11" s="743"/>
      <c r="B11" s="743"/>
      <c r="C11" s="743"/>
      <c r="D11" s="790"/>
      <c r="E11" s="790"/>
      <c r="F11" s="792">
        <f>G10-G11-$F$28</f>
        <v>-8</v>
      </c>
      <c r="G11" s="863"/>
      <c r="H11" s="743"/>
      <c r="I11" s="761"/>
      <c r="J11" s="521" t="s">
        <v>179</v>
      </c>
      <c r="K11" s="521"/>
      <c r="L11" s="299">
        <v>13.6693</v>
      </c>
      <c r="M11" s="299"/>
      <c r="N11" s="299">
        <v>14.985900000000001</v>
      </c>
      <c r="O11" s="490">
        <f>(N11-L11)*1000</f>
        <v>1316.600000000001</v>
      </c>
      <c r="P11" s="898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71"/>
    </row>
    <row r="12" spans="1:30" ht="70.5" customHeight="1" thickBot="1" x14ac:dyDescent="0.4">
      <c r="A12" s="506">
        <v>5</v>
      </c>
      <c r="B12" s="506">
        <v>5</v>
      </c>
      <c r="C12" s="506">
        <v>0.8</v>
      </c>
      <c r="D12" s="507">
        <f>(F12-F9)/C12/60</f>
        <v>6.25</v>
      </c>
      <c r="E12" s="507">
        <f>B12+D12+E9</f>
        <v>48.916666666666664</v>
      </c>
      <c r="F12" s="229">
        <f>G9-G12+F9</f>
        <v>1132</v>
      </c>
      <c r="G12" s="513">
        <v>500</v>
      </c>
      <c r="H12" s="506"/>
      <c r="I12" s="38" t="s">
        <v>72</v>
      </c>
      <c r="J12" s="521" t="s">
        <v>132</v>
      </c>
      <c r="K12" s="518" t="s">
        <v>278</v>
      </c>
      <c r="L12" s="299">
        <v>100.584</v>
      </c>
      <c r="M12" s="299"/>
      <c r="N12" s="553">
        <v>101.483</v>
      </c>
      <c r="O12" s="366">
        <f>(N12-L12)*1000</f>
        <v>899.00000000000091</v>
      </c>
      <c r="P12" s="303" t="s">
        <v>205</v>
      </c>
      <c r="Q12" s="188" t="s">
        <v>263</v>
      </c>
      <c r="R12" s="188"/>
      <c r="S12" s="188"/>
      <c r="T12" s="188"/>
      <c r="U12" s="188"/>
      <c r="V12" s="188"/>
      <c r="W12" s="188"/>
      <c r="X12" s="188"/>
      <c r="Y12" s="188"/>
      <c r="Z12" s="188"/>
      <c r="AA12" s="172" t="s">
        <v>303</v>
      </c>
    </row>
    <row r="13" spans="1:30" ht="80.900000000000006" customHeight="1" thickBot="1" x14ac:dyDescent="0.4">
      <c r="A13" s="506">
        <v>6</v>
      </c>
      <c r="B13" s="506">
        <v>5</v>
      </c>
      <c r="C13" s="506">
        <v>0.8</v>
      </c>
      <c r="D13" s="507">
        <f t="shared" ref="D13:D20" si="1">(F13-F12)/C13/60</f>
        <v>2.0833333333333335</v>
      </c>
      <c r="E13" s="507">
        <f t="shared" ref="E13:E19" si="2">B13+D13+E12</f>
        <v>56</v>
      </c>
      <c r="F13" s="229">
        <f t="shared" ref="F13:F20" si="3">G12-G13+F12</f>
        <v>1232</v>
      </c>
      <c r="G13" s="513">
        <v>400</v>
      </c>
      <c r="H13" s="506"/>
      <c r="I13" s="522" t="s">
        <v>31</v>
      </c>
      <c r="J13" s="522" t="s">
        <v>127</v>
      </c>
      <c r="K13" s="538" t="s">
        <v>240</v>
      </c>
      <c r="L13" s="300">
        <v>53.933</v>
      </c>
      <c r="M13" s="300"/>
      <c r="N13" s="300">
        <v>54.841000000000001</v>
      </c>
      <c r="O13" s="359">
        <f t="shared" si="0"/>
        <v>908.00000000000125</v>
      </c>
      <c r="P13" s="517"/>
      <c r="Q13" s="471"/>
      <c r="R13" s="185"/>
      <c r="S13" s="185"/>
      <c r="T13" s="185" t="s">
        <v>263</v>
      </c>
      <c r="U13" s="185" t="s">
        <v>263</v>
      </c>
      <c r="V13" s="185"/>
      <c r="W13" s="185" t="s">
        <v>263</v>
      </c>
      <c r="X13" s="185"/>
      <c r="Y13" s="185"/>
      <c r="Z13" s="185"/>
      <c r="AA13" s="172" t="s">
        <v>304</v>
      </c>
    </row>
    <row r="14" spans="1:30" ht="67.5" customHeight="1" thickBot="1" x14ac:dyDescent="0.4">
      <c r="A14" s="506">
        <v>7</v>
      </c>
      <c r="B14" s="506">
        <v>5</v>
      </c>
      <c r="C14" s="506">
        <v>0.8</v>
      </c>
      <c r="D14" s="507">
        <f t="shared" si="1"/>
        <v>3.9583333333333335</v>
      </c>
      <c r="E14" s="507">
        <f t="shared" si="2"/>
        <v>64.958333333333329</v>
      </c>
      <c r="F14" s="229">
        <f t="shared" si="3"/>
        <v>1422</v>
      </c>
      <c r="G14" s="530">
        <v>210</v>
      </c>
      <c r="H14" s="508"/>
      <c r="I14" s="250" t="s">
        <v>299</v>
      </c>
      <c r="J14" s="527" t="s">
        <v>129</v>
      </c>
      <c r="K14" s="522" t="s">
        <v>278</v>
      </c>
      <c r="L14" s="302">
        <v>54.823</v>
      </c>
      <c r="M14" s="300"/>
      <c r="N14" s="299">
        <v>55.378999999999998</v>
      </c>
      <c r="O14" s="359">
        <f t="shared" si="0"/>
        <v>555.99999999999739</v>
      </c>
      <c r="P14" s="464" t="s">
        <v>205</v>
      </c>
      <c r="Q14" s="180" t="s">
        <v>263</v>
      </c>
      <c r="R14" s="180"/>
      <c r="S14" s="180"/>
      <c r="T14" s="180"/>
      <c r="U14" s="180"/>
      <c r="V14" s="180"/>
      <c r="W14" s="180"/>
      <c r="X14" s="180"/>
      <c r="Y14" s="180"/>
      <c r="Z14" s="180"/>
      <c r="AA14" s="172" t="s">
        <v>305</v>
      </c>
    </row>
    <row r="15" spans="1:30" ht="62.15" customHeight="1" thickBot="1" x14ac:dyDescent="0.4">
      <c r="A15" s="506">
        <v>8</v>
      </c>
      <c r="B15" s="506">
        <v>5</v>
      </c>
      <c r="C15" s="506">
        <v>0.8</v>
      </c>
      <c r="D15" s="507">
        <f t="shared" si="1"/>
        <v>0.41666666666666669</v>
      </c>
      <c r="E15" s="507">
        <f t="shared" si="2"/>
        <v>70.375</v>
      </c>
      <c r="F15" s="229">
        <f t="shared" si="3"/>
        <v>1442</v>
      </c>
      <c r="G15" s="530">
        <v>190</v>
      </c>
      <c r="H15" s="506"/>
      <c r="I15" s="522" t="s">
        <v>71</v>
      </c>
      <c r="J15" s="522" t="s">
        <v>131</v>
      </c>
      <c r="K15" s="538" t="s">
        <v>240</v>
      </c>
      <c r="L15" s="300">
        <v>77.025000000000006</v>
      </c>
      <c r="M15" s="300"/>
      <c r="N15" s="300">
        <v>77.622</v>
      </c>
      <c r="O15" s="359">
        <f t="shared" si="0"/>
        <v>596.9999999999942</v>
      </c>
      <c r="P15" s="464"/>
      <c r="Q15" s="531"/>
      <c r="R15" s="180"/>
      <c r="S15" s="180"/>
      <c r="T15" s="180" t="s">
        <v>263</v>
      </c>
      <c r="U15" s="180"/>
      <c r="V15" s="180"/>
      <c r="W15" s="180" t="s">
        <v>263</v>
      </c>
      <c r="X15" s="180"/>
      <c r="Y15" s="180"/>
      <c r="Z15" s="180"/>
      <c r="AA15" s="468"/>
    </row>
    <row r="16" spans="1:30" ht="61.5" customHeight="1" thickBot="1" x14ac:dyDescent="0.4">
      <c r="A16" s="506">
        <v>9</v>
      </c>
      <c r="B16" s="506">
        <v>5</v>
      </c>
      <c r="C16" s="506">
        <v>0.8</v>
      </c>
      <c r="D16" s="507">
        <f t="shared" si="1"/>
        <v>0.83333333333333337</v>
      </c>
      <c r="E16" s="507">
        <f t="shared" si="2"/>
        <v>76.208333333333329</v>
      </c>
      <c r="F16" s="229">
        <f t="shared" si="3"/>
        <v>1482</v>
      </c>
      <c r="G16" s="530">
        <v>150</v>
      </c>
      <c r="H16" s="506"/>
      <c r="I16" s="522" t="s">
        <v>68</v>
      </c>
      <c r="J16" s="522" t="s">
        <v>134</v>
      </c>
      <c r="K16" s="539" t="s">
        <v>240</v>
      </c>
      <c r="L16" s="300">
        <v>83.17</v>
      </c>
      <c r="M16" s="300"/>
      <c r="N16" s="300">
        <v>83.466999999999999</v>
      </c>
      <c r="O16" s="465">
        <f>(N16-L16)*1000</f>
        <v>296.99999999999704</v>
      </c>
      <c r="P16" s="464"/>
      <c r="Q16" s="180"/>
      <c r="R16" s="180"/>
      <c r="S16" s="180"/>
      <c r="T16" s="180" t="s">
        <v>263</v>
      </c>
      <c r="U16" s="180" t="s">
        <v>263</v>
      </c>
      <c r="V16" s="531"/>
      <c r="W16" s="180" t="s">
        <v>263</v>
      </c>
      <c r="X16" s="180"/>
      <c r="Y16" s="180"/>
      <c r="Z16" s="180"/>
      <c r="AA16" s="468"/>
    </row>
    <row r="17" spans="1:29" ht="56.9" customHeight="1" thickBot="1" x14ac:dyDescent="0.4">
      <c r="A17" s="511">
        <v>10</v>
      </c>
      <c r="B17" s="511">
        <v>5</v>
      </c>
      <c r="C17" s="511">
        <v>0.8</v>
      </c>
      <c r="D17" s="507">
        <f t="shared" si="1"/>
        <v>1.0416666666666667</v>
      </c>
      <c r="E17" s="507">
        <f t="shared" si="2"/>
        <v>82.25</v>
      </c>
      <c r="F17" s="229">
        <f t="shared" si="3"/>
        <v>1532</v>
      </c>
      <c r="G17" s="530">
        <v>100</v>
      </c>
      <c r="H17" s="512"/>
      <c r="I17" s="523" t="s">
        <v>19</v>
      </c>
      <c r="J17" s="522" t="s">
        <v>126</v>
      </c>
      <c r="K17" s="539" t="s">
        <v>240</v>
      </c>
      <c r="L17" s="300">
        <v>33.143000000000001</v>
      </c>
      <c r="M17" s="299"/>
      <c r="N17" s="300">
        <v>33.439</v>
      </c>
      <c r="O17" s="359">
        <f t="shared" si="0"/>
        <v>295.99999999999937</v>
      </c>
      <c r="P17" s="464"/>
      <c r="Q17" s="531"/>
      <c r="R17" s="180"/>
      <c r="S17" s="180"/>
      <c r="T17" s="180" t="s">
        <v>263</v>
      </c>
      <c r="U17" s="180"/>
      <c r="V17" s="180"/>
      <c r="W17" s="180" t="s">
        <v>263</v>
      </c>
      <c r="X17" s="180"/>
      <c r="Y17" s="180"/>
      <c r="Z17" s="180"/>
      <c r="AA17" s="171"/>
    </row>
    <row r="18" spans="1:29" ht="63.75" customHeight="1" thickBot="1" x14ac:dyDescent="0.4">
      <c r="A18" s="506">
        <v>11</v>
      </c>
      <c r="B18" s="506">
        <v>5</v>
      </c>
      <c r="C18" s="506">
        <v>0.8</v>
      </c>
      <c r="D18" s="507">
        <f t="shared" si="1"/>
        <v>0.72916666666666663</v>
      </c>
      <c r="E18" s="507">
        <f t="shared" si="2"/>
        <v>87.979166666666671</v>
      </c>
      <c r="F18" s="229">
        <f t="shared" si="3"/>
        <v>1567</v>
      </c>
      <c r="G18" s="530">
        <v>65</v>
      </c>
      <c r="H18" s="508"/>
      <c r="I18" s="522" t="s">
        <v>67</v>
      </c>
      <c r="J18" s="521" t="s">
        <v>133</v>
      </c>
      <c r="K18" s="539" t="s">
        <v>240</v>
      </c>
      <c r="L18" s="300">
        <v>80.007000000000005</v>
      </c>
      <c r="M18" s="300"/>
      <c r="N18" s="300">
        <v>80.272999999999996</v>
      </c>
      <c r="O18" s="359">
        <f>(N18-L18)*1000</f>
        <v>265.99999999999113</v>
      </c>
      <c r="P18" s="464"/>
      <c r="Q18" s="180"/>
      <c r="R18" s="180"/>
      <c r="S18" s="180"/>
      <c r="T18" s="180" t="s">
        <v>263</v>
      </c>
      <c r="U18" s="180"/>
      <c r="V18" s="531"/>
      <c r="W18" s="180" t="s">
        <v>263</v>
      </c>
      <c r="X18" s="180"/>
      <c r="Y18" s="180"/>
      <c r="Z18" s="180"/>
      <c r="AA18" s="468" t="s">
        <v>306</v>
      </c>
    </row>
    <row r="19" spans="1:29" ht="62.15" customHeight="1" thickBot="1" x14ac:dyDescent="0.4">
      <c r="A19" s="516">
        <v>12</v>
      </c>
      <c r="B19" s="516">
        <v>5</v>
      </c>
      <c r="C19" s="516">
        <v>0.8</v>
      </c>
      <c r="D19" s="507">
        <f t="shared" si="1"/>
        <v>0.41666666666666669</v>
      </c>
      <c r="E19" s="507">
        <f t="shared" si="2"/>
        <v>93.395833333333343</v>
      </c>
      <c r="F19" s="229">
        <f t="shared" si="3"/>
        <v>1587</v>
      </c>
      <c r="G19" s="516">
        <v>45</v>
      </c>
      <c r="H19" s="516"/>
      <c r="I19" s="522" t="s">
        <v>25</v>
      </c>
      <c r="J19" s="522" t="s">
        <v>128</v>
      </c>
      <c r="K19" s="522" t="s">
        <v>278</v>
      </c>
      <c r="L19" s="300">
        <v>37.843000000000004</v>
      </c>
      <c r="M19" s="302"/>
      <c r="N19" s="300">
        <v>38.161000000000001</v>
      </c>
      <c r="O19" s="359">
        <f t="shared" si="0"/>
        <v>317.99999999999784</v>
      </c>
      <c r="P19" s="517" t="s">
        <v>205</v>
      </c>
      <c r="Q19" s="185" t="s">
        <v>263</v>
      </c>
      <c r="R19" s="185"/>
      <c r="S19" s="185"/>
      <c r="T19" s="185"/>
      <c r="U19" s="185"/>
      <c r="V19" s="185"/>
      <c r="W19" s="185"/>
      <c r="X19" s="185"/>
      <c r="Y19" s="185"/>
      <c r="Z19" s="185"/>
      <c r="AA19" s="304" t="s">
        <v>307</v>
      </c>
    </row>
    <row r="20" spans="1:29" ht="53.9" customHeight="1" x14ac:dyDescent="0.35">
      <c r="A20" s="742">
        <v>13</v>
      </c>
      <c r="B20" s="742">
        <v>5</v>
      </c>
      <c r="C20" s="806">
        <v>0.8</v>
      </c>
      <c r="D20" s="807">
        <f t="shared" si="1"/>
        <v>0.41666666666666669</v>
      </c>
      <c r="E20" s="789">
        <f>E19+B20+D20</f>
        <v>98.812500000000014</v>
      </c>
      <c r="F20" s="858">
        <f t="shared" si="3"/>
        <v>1607</v>
      </c>
      <c r="G20" s="862">
        <v>25</v>
      </c>
      <c r="H20" s="742"/>
      <c r="I20" s="759" t="s">
        <v>23</v>
      </c>
      <c r="J20" s="519" t="s">
        <v>150</v>
      </c>
      <c r="K20" s="536" t="s">
        <v>279</v>
      </c>
      <c r="L20" s="297">
        <v>5.5991</v>
      </c>
      <c r="M20" s="364"/>
      <c r="N20" s="288">
        <v>5.8167</v>
      </c>
      <c r="O20" s="359">
        <f t="shared" si="0"/>
        <v>217.60000000000002</v>
      </c>
      <c r="P20" s="897"/>
      <c r="Q20" s="183"/>
      <c r="R20" s="183"/>
      <c r="S20" s="183"/>
      <c r="T20" s="183"/>
      <c r="U20" s="183"/>
      <c r="V20" s="183" t="s">
        <v>263</v>
      </c>
      <c r="W20" s="183"/>
      <c r="X20" s="183" t="s">
        <v>263</v>
      </c>
      <c r="Y20" s="183" t="s">
        <v>263</v>
      </c>
      <c r="Z20" s="183" t="s">
        <v>263</v>
      </c>
      <c r="AA20" s="370" t="s">
        <v>308</v>
      </c>
    </row>
    <row r="21" spans="1:29" ht="57.75" customHeight="1" x14ac:dyDescent="0.35">
      <c r="A21" s="742"/>
      <c r="B21" s="742"/>
      <c r="C21" s="742"/>
      <c r="D21" s="789"/>
      <c r="E21" s="789"/>
      <c r="F21" s="791">
        <f t="shared" ref="F21:F22" si="4">G20-G21-$F$28</f>
        <v>17</v>
      </c>
      <c r="G21" s="742"/>
      <c r="H21" s="742"/>
      <c r="I21" s="760"/>
      <c r="J21" s="520" t="s">
        <v>151</v>
      </c>
      <c r="K21" s="535" t="s">
        <v>240</v>
      </c>
      <c r="L21" s="287">
        <v>7.4531999999999998</v>
      </c>
      <c r="M21" s="363"/>
      <c r="N21" s="287">
        <v>7.6433999999999997</v>
      </c>
      <c r="O21" s="362">
        <f t="shared" si="0"/>
        <v>190.19999999999993</v>
      </c>
      <c r="P21" s="897"/>
      <c r="Q21" s="138"/>
      <c r="R21" s="183"/>
      <c r="S21" s="183"/>
      <c r="T21" s="183" t="s">
        <v>263</v>
      </c>
      <c r="U21" s="183" t="s">
        <v>263</v>
      </c>
      <c r="V21" s="183"/>
      <c r="W21" s="183" t="s">
        <v>263</v>
      </c>
      <c r="X21" s="138"/>
      <c r="Y21" s="183"/>
      <c r="Z21" s="183"/>
      <c r="AA21" s="552" t="s">
        <v>309</v>
      </c>
    </row>
    <row r="22" spans="1:29" ht="64.5" customHeight="1" thickBot="1" x14ac:dyDescent="0.4">
      <c r="A22" s="743"/>
      <c r="B22" s="743"/>
      <c r="C22" s="743"/>
      <c r="D22" s="790"/>
      <c r="E22" s="790"/>
      <c r="F22" s="792">
        <f t="shared" si="4"/>
        <v>-8</v>
      </c>
      <c r="G22" s="743"/>
      <c r="H22" s="743"/>
      <c r="I22" s="761"/>
      <c r="J22" s="521" t="s">
        <v>179</v>
      </c>
      <c r="K22" s="521"/>
      <c r="L22" s="299">
        <v>12.8767</v>
      </c>
      <c r="M22" s="365"/>
      <c r="N22" s="299">
        <v>13.2828</v>
      </c>
      <c r="O22" s="490">
        <f t="shared" si="0"/>
        <v>406.10000000000036</v>
      </c>
      <c r="P22" s="898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71"/>
    </row>
    <row r="23" spans="1:29" ht="40.5" thickBot="1" x14ac:dyDescent="0.6">
      <c r="A23" s="24" t="s">
        <v>10</v>
      </c>
      <c r="B23" s="510">
        <f>SUM(B6:B22)</f>
        <v>65</v>
      </c>
      <c r="C23" s="510"/>
      <c r="D23" s="515">
        <f>SUM(D6:D22)</f>
        <v>33.812499999999993</v>
      </c>
      <c r="E23" s="515">
        <f>D23+B23</f>
        <v>98.8125</v>
      </c>
      <c r="F23" s="144">
        <f>G6</f>
        <v>1640</v>
      </c>
      <c r="G23" s="827" t="s">
        <v>18</v>
      </c>
      <c r="H23" s="856"/>
      <c r="I23" s="856"/>
      <c r="J23" s="9"/>
      <c r="K23" s="145" t="s">
        <v>103</v>
      </c>
      <c r="L23" s="838" t="s">
        <v>102</v>
      </c>
      <c r="M23" s="855"/>
      <c r="N23" s="252" t="s">
        <v>53</v>
      </c>
      <c r="O23" s="22"/>
    </row>
    <row r="24" spans="1:29" ht="46" x14ac:dyDescent="0.35">
      <c r="A24" s="26" t="s">
        <v>12</v>
      </c>
      <c r="B24" s="511">
        <f>B23/60</f>
        <v>1.0833333333333333</v>
      </c>
      <c r="C24" s="511"/>
      <c r="D24" s="514" t="s">
        <v>14</v>
      </c>
      <c r="E24" s="514"/>
      <c r="F24" s="253"/>
      <c r="J24" s="95" t="s">
        <v>145</v>
      </c>
      <c r="K24" s="30">
        <v>44242</v>
      </c>
      <c r="L24" s="883">
        <v>0</v>
      </c>
      <c r="M24" s="884"/>
      <c r="N24" s="367">
        <v>0.79166666666666663</v>
      </c>
      <c r="O24" s="22"/>
      <c r="AC24">
        <v>1</v>
      </c>
    </row>
    <row r="25" spans="1:29" ht="46" x14ac:dyDescent="0.35">
      <c r="J25" s="96" t="s">
        <v>45</v>
      </c>
      <c r="K25" s="30">
        <v>44242</v>
      </c>
      <c r="L25" s="881">
        <v>7.6388888888888895E-2</v>
      </c>
      <c r="M25" s="885"/>
      <c r="N25" s="367">
        <v>0.86805555555555547</v>
      </c>
      <c r="O25" s="22"/>
    </row>
    <row r="26" spans="1:29" ht="46" x14ac:dyDescent="0.35">
      <c r="A26" s="1"/>
      <c r="B26" s="1"/>
      <c r="C26" s="1"/>
      <c r="D26" s="1"/>
      <c r="E26" s="1"/>
      <c r="F26" s="1"/>
      <c r="G26" s="1"/>
      <c r="J26" s="96" t="s">
        <v>46</v>
      </c>
      <c r="K26" s="30">
        <v>44243</v>
      </c>
      <c r="L26" s="881">
        <v>0.20138888888888887</v>
      </c>
      <c r="M26" s="882"/>
      <c r="N26" s="367">
        <v>0.99305555555555547</v>
      </c>
      <c r="O26" s="22"/>
    </row>
    <row r="27" spans="1:29" ht="46" x14ac:dyDescent="0.35">
      <c r="A27" s="857" t="s">
        <v>52</v>
      </c>
      <c r="B27" s="857"/>
      <c r="C27" s="857"/>
      <c r="D27" s="857"/>
      <c r="E27" s="857"/>
      <c r="F27" s="857"/>
      <c r="J27" s="96" t="s">
        <v>47</v>
      </c>
      <c r="K27" s="30">
        <v>44243</v>
      </c>
      <c r="L27" s="881">
        <v>0.25694444444444448</v>
      </c>
      <c r="M27" s="882"/>
      <c r="N27" s="367">
        <v>4.8611111111111112E-2</v>
      </c>
      <c r="O27" s="22"/>
    </row>
    <row r="28" spans="1:29" ht="20" x14ac:dyDescent="0.4">
      <c r="A28" s="17" t="s">
        <v>51</v>
      </c>
      <c r="B28" s="17"/>
      <c r="C28" s="17"/>
      <c r="F28" s="9">
        <v>8</v>
      </c>
      <c r="G28" s="20" t="s">
        <v>11</v>
      </c>
      <c r="J28" s="17"/>
      <c r="K28" s="19"/>
      <c r="O28" s="22"/>
    </row>
    <row r="29" spans="1:29" ht="60" x14ac:dyDescent="0.6">
      <c r="A29" s="120" t="s">
        <v>168</v>
      </c>
      <c r="F29" s="145">
        <v>10</v>
      </c>
      <c r="G29" s="17" t="s">
        <v>169</v>
      </c>
      <c r="H29" s="251" t="s">
        <v>310</v>
      </c>
      <c r="J29" s="10" t="s">
        <v>50</v>
      </c>
      <c r="K29" s="31">
        <f>E23+F29</f>
        <v>108.8125</v>
      </c>
      <c r="O29" s="22"/>
    </row>
    <row r="30" spans="1:29" ht="60" x14ac:dyDescent="0.7">
      <c r="A30" s="146"/>
      <c r="C30" s="120"/>
      <c r="F30" s="17"/>
      <c r="G30" s="17"/>
      <c r="H30" s="17"/>
      <c r="I30" s="15"/>
      <c r="J30" s="10" t="s">
        <v>49</v>
      </c>
      <c r="K30" s="31">
        <f>D23+5*A20+F29</f>
        <v>108.8125</v>
      </c>
      <c r="O30" s="22"/>
    </row>
    <row r="31" spans="1:29" ht="29.5" x14ac:dyDescent="0.55000000000000004">
      <c r="A31" s="147"/>
      <c r="B31" s="20"/>
      <c r="C31" s="17"/>
      <c r="I31" s="9"/>
      <c r="J31" s="1"/>
      <c r="K31" s="1"/>
      <c r="L31" s="1"/>
      <c r="M31" s="2"/>
    </row>
    <row r="32" spans="1:29" ht="20" x14ac:dyDescent="0.4">
      <c r="C32" s="17"/>
      <c r="D32" s="17"/>
      <c r="E32" s="17" t="s">
        <v>14</v>
      </c>
      <c r="F32" s="17"/>
      <c r="I32" s="15"/>
      <c r="J32" s="1"/>
      <c r="K32" s="1"/>
      <c r="L32" s="1"/>
      <c r="M32" s="2"/>
    </row>
    <row r="33" spans="1:15" ht="20" x14ac:dyDescent="0.4">
      <c r="A33" s="19"/>
      <c r="B33" s="20"/>
      <c r="C33" s="17"/>
      <c r="D33" s="17"/>
      <c r="E33" s="23"/>
      <c r="F33" s="17"/>
      <c r="G33" s="17"/>
      <c r="H33" s="17"/>
      <c r="I33" s="15"/>
      <c r="J33" s="1"/>
      <c r="K33" s="1"/>
      <c r="L33" s="1"/>
      <c r="M33" s="2"/>
      <c r="N33" s="2"/>
      <c r="O33" s="2"/>
    </row>
    <row r="34" spans="1:15" ht="20" x14ac:dyDescent="0.4">
      <c r="A34" s="19"/>
      <c r="B34" s="20"/>
      <c r="C34" s="17"/>
      <c r="D34" s="17"/>
      <c r="E34" s="17"/>
      <c r="F34" s="17"/>
      <c r="G34" s="17"/>
      <c r="H34" s="17"/>
      <c r="I34" s="15"/>
      <c r="J34" s="1"/>
      <c r="K34" s="1"/>
      <c r="L34" s="1"/>
      <c r="M34" s="2"/>
    </row>
    <row r="35" spans="1:15" ht="18.5" x14ac:dyDescent="0.45">
      <c r="A35" s="16"/>
      <c r="B35" s="16"/>
      <c r="C35" s="16"/>
      <c r="D35" s="16"/>
      <c r="E35" s="16"/>
      <c r="F35" s="16"/>
      <c r="G35" s="16"/>
      <c r="H35" s="16"/>
      <c r="I35" s="16"/>
    </row>
    <row r="89" spans="13:13" x14ac:dyDescent="0.35">
      <c r="M89" t="s">
        <v>14</v>
      </c>
    </row>
  </sheetData>
  <mergeCells count="31">
    <mergeCell ref="A27:F27"/>
    <mergeCell ref="L27:M27"/>
    <mergeCell ref="G23:I23"/>
    <mergeCell ref="L23:M23"/>
    <mergeCell ref="L24:M24"/>
    <mergeCell ref="L25:M25"/>
    <mergeCell ref="L26:M26"/>
    <mergeCell ref="F20:F22"/>
    <mergeCell ref="G20:G22"/>
    <mergeCell ref="H20:H22"/>
    <mergeCell ref="I20:I22"/>
    <mergeCell ref="P20:P22"/>
    <mergeCell ref="A20:A22"/>
    <mergeCell ref="B20:B22"/>
    <mergeCell ref="C20:C22"/>
    <mergeCell ref="D20:D22"/>
    <mergeCell ref="E20:E22"/>
    <mergeCell ref="M3:O3"/>
    <mergeCell ref="Q4:S4"/>
    <mergeCell ref="T4:X4"/>
    <mergeCell ref="L5:M5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P9:P11"/>
  </mergeCells>
  <pageMargins left="0.7" right="0.7" top="0.75" bottom="0.75" header="0.3" footer="0.3"/>
  <pageSetup paperSize="9" scale="2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6"/>
  <sheetViews>
    <sheetView topLeftCell="A2" zoomScale="30" zoomScaleNormal="30" workbookViewId="0">
      <selection activeCell="Z6" sqref="Z6:Z17"/>
    </sheetView>
  </sheetViews>
  <sheetFormatPr defaultColWidth="11.453125" defaultRowHeight="14.5" x14ac:dyDescent="0.35"/>
  <cols>
    <col min="1" max="1" width="12.08984375" customWidth="1"/>
    <col min="2" max="2" width="13" customWidth="1"/>
    <col min="3" max="3" width="15.453125" customWidth="1"/>
    <col min="4" max="5" width="14.453125" customWidth="1"/>
    <col min="6" max="6" width="19.90625" customWidth="1"/>
    <col min="7" max="7" width="13.453125" customWidth="1"/>
    <col min="8" max="8" width="13.90625" customWidth="1"/>
    <col min="9" max="9" width="14" customWidth="1"/>
    <col min="10" max="10" width="21.08984375" customWidth="1"/>
    <col min="11" max="11" width="21.453125" customWidth="1"/>
    <col min="12" max="12" width="18" customWidth="1"/>
    <col min="13" max="13" width="20.90625" customWidth="1"/>
    <col min="14" max="14" width="28.453125" customWidth="1"/>
    <col min="15" max="15" width="19" customWidth="1"/>
    <col min="16" max="26" width="9.08984375" customWidth="1"/>
    <col min="27" max="27" width="102.08984375" bestFit="1" customWidth="1"/>
    <col min="28" max="28" width="10.453125" customWidth="1"/>
    <col min="29" max="29" width="10.453125" bestFit="1" customWidth="1"/>
    <col min="30" max="30" width="34.453125" customWidth="1"/>
  </cols>
  <sheetData>
    <row r="1" spans="1:31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</row>
    <row r="2" spans="1:31" ht="32.5" x14ac:dyDescent="0.65">
      <c r="A2" s="84" t="s">
        <v>36</v>
      </c>
      <c r="B2" s="83"/>
      <c r="C2" s="98" t="s">
        <v>314</v>
      </c>
      <c r="D2" s="83"/>
      <c r="H2" s="91" t="s">
        <v>96</v>
      </c>
      <c r="I2" s="193"/>
      <c r="J2" s="342"/>
      <c r="K2" s="89" t="s">
        <v>99</v>
      </c>
      <c r="L2" s="1"/>
      <c r="M2" s="2"/>
      <c r="N2" s="2"/>
      <c r="O2" s="2"/>
    </row>
    <row r="3" spans="1:31" ht="30.5" x14ac:dyDescent="0.65">
      <c r="A3" s="119" t="s">
        <v>136</v>
      </c>
      <c r="B3" s="120"/>
      <c r="C3" s="121">
        <v>290</v>
      </c>
      <c r="D3" s="122" t="s">
        <v>11</v>
      </c>
      <c r="E3" s="1"/>
      <c r="F3" s="1"/>
      <c r="G3" s="1"/>
      <c r="H3" s="92" t="s">
        <v>97</v>
      </c>
      <c r="I3" s="193"/>
      <c r="J3" s="342"/>
      <c r="K3" s="89" t="s">
        <v>100</v>
      </c>
      <c r="L3" s="1"/>
      <c r="M3" s="880"/>
      <c r="N3" s="880"/>
      <c r="O3" s="880"/>
      <c r="AD3" s="565"/>
      <c r="AE3" s="22"/>
    </row>
    <row r="4" spans="1:31" ht="28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Q4" s="778" t="s">
        <v>38</v>
      </c>
      <c r="R4" s="779"/>
      <c r="S4" s="780"/>
      <c r="T4" s="781" t="s">
        <v>43</v>
      </c>
      <c r="U4" s="782"/>
      <c r="V4" s="782"/>
      <c r="W4" s="782"/>
      <c r="X4" s="783"/>
      <c r="Y4" s="544"/>
      <c r="Z4" s="544"/>
      <c r="AA4" s="13" t="s">
        <v>48</v>
      </c>
    </row>
    <row r="5" spans="1:31" ht="63" thickBot="1" x14ac:dyDescent="0.6">
      <c r="A5" s="10" t="s">
        <v>98</v>
      </c>
      <c r="B5" s="10" t="s">
        <v>0</v>
      </c>
      <c r="C5" s="10" t="s">
        <v>17</v>
      </c>
      <c r="D5" s="10" t="s">
        <v>1</v>
      </c>
      <c r="E5" s="10" t="s">
        <v>2</v>
      </c>
      <c r="F5" s="12" t="s">
        <v>3</v>
      </c>
      <c r="G5" s="360" t="s">
        <v>4</v>
      </c>
      <c r="H5" s="360" t="s">
        <v>5</v>
      </c>
      <c r="I5" s="291" t="s">
        <v>16</v>
      </c>
      <c r="J5" s="290" t="s">
        <v>15</v>
      </c>
      <c r="K5" s="290" t="s">
        <v>66</v>
      </c>
      <c r="L5" s="873" t="s">
        <v>143</v>
      </c>
      <c r="M5" s="874"/>
      <c r="N5" s="291" t="s">
        <v>144</v>
      </c>
      <c r="O5" s="292" t="s">
        <v>8</v>
      </c>
      <c r="P5" s="292" t="s">
        <v>137</v>
      </c>
      <c r="Q5" s="293" t="s">
        <v>42</v>
      </c>
      <c r="R5" s="293" t="s">
        <v>37</v>
      </c>
      <c r="S5" s="293" t="s">
        <v>44</v>
      </c>
      <c r="T5" s="294" t="s">
        <v>41</v>
      </c>
      <c r="U5" s="294" t="s">
        <v>184</v>
      </c>
      <c r="V5" s="294" t="s">
        <v>39</v>
      </c>
      <c r="W5" s="294" t="s">
        <v>40</v>
      </c>
      <c r="X5" s="294" t="s">
        <v>42</v>
      </c>
      <c r="Y5" s="294" t="s">
        <v>178</v>
      </c>
      <c r="Z5" s="294" t="s">
        <v>233</v>
      </c>
      <c r="AA5" s="295"/>
      <c r="AC5" s="724">
        <f>SUM(O6:O8,O11:O16,O19)</f>
        <v>2671.5999999999913</v>
      </c>
    </row>
    <row r="6" spans="1:31" ht="57" customHeight="1" thickBot="1" x14ac:dyDescent="0.4">
      <c r="A6" s="543">
        <v>1</v>
      </c>
      <c r="B6" s="543">
        <v>5</v>
      </c>
      <c r="C6" s="543">
        <f>$C$16</f>
        <v>0.6</v>
      </c>
      <c r="D6" s="545">
        <f>ABS(F6)/C6/60</f>
        <v>0.22222222222222224</v>
      </c>
      <c r="E6" s="545">
        <f>B6+D6</f>
        <v>5.2222222222222223</v>
      </c>
      <c r="F6" s="229">
        <v>-8</v>
      </c>
      <c r="G6" s="548">
        <f>C3-30</f>
        <v>260</v>
      </c>
      <c r="H6" s="543"/>
      <c r="I6" s="561" t="s">
        <v>283</v>
      </c>
      <c r="J6" s="559" t="s">
        <v>126</v>
      </c>
      <c r="K6" s="543" t="s">
        <v>278</v>
      </c>
      <c r="L6" s="300"/>
      <c r="M6" s="300">
        <v>33.439</v>
      </c>
      <c r="N6" s="300">
        <v>33.744</v>
      </c>
      <c r="O6" s="568">
        <f t="shared" ref="O6:O19" si="0">(N6-M6)*1000</f>
        <v>304.99999999999972</v>
      </c>
      <c r="P6" s="550" t="s">
        <v>140</v>
      </c>
      <c r="Q6" s="185" t="s">
        <v>263</v>
      </c>
      <c r="R6" s="180"/>
      <c r="S6" s="180"/>
      <c r="T6" s="180"/>
      <c r="U6" s="180"/>
      <c r="V6" s="180"/>
      <c r="W6" s="180"/>
      <c r="X6" s="185"/>
      <c r="Y6" s="188"/>
      <c r="Z6" s="185"/>
      <c r="AA6" s="172" t="s">
        <v>317</v>
      </c>
    </row>
    <row r="7" spans="1:31" ht="70.5" customHeight="1" thickBot="1" x14ac:dyDescent="0.4">
      <c r="A7" s="543">
        <v>2</v>
      </c>
      <c r="B7" s="543">
        <v>5</v>
      </c>
      <c r="C7" s="543">
        <f>$C$16</f>
        <v>0.6</v>
      </c>
      <c r="D7" s="545">
        <f>(F7-F6)/C7/60</f>
        <v>0.55555555555555558</v>
      </c>
      <c r="E7" s="545">
        <f>B7+D7+E6</f>
        <v>10.777777777777779</v>
      </c>
      <c r="F7" s="229">
        <f>G6-G7+F6</f>
        <v>12</v>
      </c>
      <c r="G7" s="548">
        <f>G6-20</f>
        <v>240</v>
      </c>
      <c r="H7" s="543"/>
      <c r="I7" s="559" t="s">
        <v>25</v>
      </c>
      <c r="J7" s="559" t="s">
        <v>128</v>
      </c>
      <c r="K7" s="543" t="s">
        <v>279</v>
      </c>
      <c r="L7" s="300"/>
      <c r="M7" s="299">
        <v>38.161000000000001</v>
      </c>
      <c r="N7" s="300">
        <v>38.527999999999999</v>
      </c>
      <c r="O7" s="568">
        <f t="shared" si="0"/>
        <v>366.99999999999733</v>
      </c>
      <c r="P7" s="550"/>
      <c r="Q7" s="180"/>
      <c r="R7" s="180"/>
      <c r="S7" s="180"/>
      <c r="T7" s="180"/>
      <c r="U7" s="180"/>
      <c r="V7" s="180" t="s">
        <v>263</v>
      </c>
      <c r="W7" s="180"/>
      <c r="X7" s="180"/>
      <c r="Y7" s="180" t="s">
        <v>263</v>
      </c>
      <c r="Z7" s="185"/>
      <c r="AA7" s="172" t="s">
        <v>317</v>
      </c>
    </row>
    <row r="8" spans="1:31" ht="67.5" customHeight="1" thickBot="1" x14ac:dyDescent="0.4">
      <c r="A8" s="543">
        <v>3</v>
      </c>
      <c r="B8" s="543">
        <v>5</v>
      </c>
      <c r="C8" s="543">
        <f>$C$16</f>
        <v>0.6</v>
      </c>
      <c r="D8" s="560">
        <f>(F8-F7)/C8/60</f>
        <v>0.55555555555555558</v>
      </c>
      <c r="E8" s="560">
        <f>B8+D8+E7</f>
        <v>16.333333333333336</v>
      </c>
      <c r="F8" s="229">
        <f>G7-G8+F7</f>
        <v>32</v>
      </c>
      <c r="G8" s="530">
        <v>220</v>
      </c>
      <c r="H8" s="567" t="s">
        <v>312</v>
      </c>
      <c r="I8" s="559" t="s">
        <v>72</v>
      </c>
      <c r="J8" s="559" t="s">
        <v>132</v>
      </c>
      <c r="K8" s="543" t="s">
        <v>278</v>
      </c>
      <c r="L8" s="300"/>
      <c r="M8" s="300">
        <v>101.483</v>
      </c>
      <c r="N8" s="300">
        <v>101.824</v>
      </c>
      <c r="O8" s="568">
        <f t="shared" si="0"/>
        <v>340.99999999999397</v>
      </c>
      <c r="P8" s="550" t="s">
        <v>140</v>
      </c>
      <c r="Q8" s="185" t="s">
        <v>263</v>
      </c>
      <c r="R8" s="180"/>
      <c r="S8" s="180"/>
      <c r="T8" s="180"/>
      <c r="U8" s="180"/>
      <c r="V8" s="180"/>
      <c r="W8" s="180"/>
      <c r="X8" s="180"/>
      <c r="Y8" s="188"/>
      <c r="Z8" s="185"/>
      <c r="AA8" s="172" t="s">
        <v>318</v>
      </c>
    </row>
    <row r="9" spans="1:31" ht="51" customHeight="1" x14ac:dyDescent="0.35">
      <c r="A9" s="806">
        <v>4</v>
      </c>
      <c r="B9" s="806">
        <v>5</v>
      </c>
      <c r="C9" s="806">
        <f>$C$16</f>
        <v>0.6</v>
      </c>
      <c r="D9" s="852">
        <f>(F9-F8)/C9/60</f>
        <v>0.55555555555555558</v>
      </c>
      <c r="E9" s="807">
        <f>E8+D9+B9</f>
        <v>21.888888888888893</v>
      </c>
      <c r="F9" s="858">
        <f>G8-G9+F8</f>
        <v>52</v>
      </c>
      <c r="G9" s="861">
        <v>200</v>
      </c>
      <c r="H9" s="806"/>
      <c r="I9" s="759" t="s">
        <v>23</v>
      </c>
      <c r="J9" s="566" t="s">
        <v>204</v>
      </c>
      <c r="K9" s="296" t="s">
        <v>279</v>
      </c>
      <c r="L9" s="288"/>
      <c r="M9" s="288">
        <v>5.8170000000000002</v>
      </c>
      <c r="N9" s="288">
        <v>6.1233000000000004</v>
      </c>
      <c r="O9" s="569">
        <f t="shared" si="0"/>
        <v>306.30000000000024</v>
      </c>
      <c r="P9" s="875"/>
      <c r="Q9" s="298"/>
      <c r="R9" s="298"/>
      <c r="S9" s="298"/>
      <c r="T9" s="298"/>
      <c r="U9" s="298"/>
      <c r="V9" s="298" t="s">
        <v>263</v>
      </c>
      <c r="W9" s="298"/>
      <c r="X9" s="298"/>
      <c r="Y9" s="298" t="s">
        <v>263</v>
      </c>
      <c r="Z9" s="298"/>
      <c r="AA9" s="369"/>
    </row>
    <row r="10" spans="1:31" ht="55.5" customHeight="1" x14ac:dyDescent="0.35">
      <c r="A10" s="742"/>
      <c r="B10" s="742"/>
      <c r="C10" s="742"/>
      <c r="D10" s="852"/>
      <c r="E10" s="789"/>
      <c r="F10" s="791"/>
      <c r="G10" s="862"/>
      <c r="H10" s="742"/>
      <c r="I10" s="760"/>
      <c r="J10" s="563" t="s">
        <v>151</v>
      </c>
      <c r="K10" s="176" t="s">
        <v>116</v>
      </c>
      <c r="L10" s="287"/>
      <c r="M10" s="287">
        <v>7.6437999999999997</v>
      </c>
      <c r="N10" s="287">
        <v>7.8324999999999996</v>
      </c>
      <c r="O10" s="917">
        <f t="shared" si="0"/>
        <v>188.69999999999987</v>
      </c>
      <c r="P10" s="876"/>
      <c r="Q10" s="183"/>
      <c r="R10" s="183"/>
      <c r="S10" s="183"/>
      <c r="T10" s="183" t="s">
        <v>263</v>
      </c>
      <c r="U10" s="183"/>
      <c r="V10" s="183"/>
      <c r="W10" s="183" t="s">
        <v>263</v>
      </c>
      <c r="X10" s="183"/>
      <c r="Y10" s="183"/>
      <c r="Z10" s="183"/>
      <c r="AA10" s="552" t="s">
        <v>320</v>
      </c>
    </row>
    <row r="11" spans="1:31" ht="52.5" customHeight="1" thickBot="1" x14ac:dyDescent="0.4">
      <c r="A11" s="743"/>
      <c r="B11" s="743"/>
      <c r="C11" s="743"/>
      <c r="D11" s="853"/>
      <c r="E11" s="790"/>
      <c r="F11" s="792"/>
      <c r="G11" s="863"/>
      <c r="H11" s="743"/>
      <c r="I11" s="761"/>
      <c r="J11" s="564" t="s">
        <v>179</v>
      </c>
      <c r="K11" s="542"/>
      <c r="L11" s="299"/>
      <c r="M11" s="299">
        <v>13.2828</v>
      </c>
      <c r="N11" s="299">
        <v>13.7765</v>
      </c>
      <c r="O11" s="916">
        <f t="shared" si="0"/>
        <v>493.7000000000005</v>
      </c>
      <c r="P11" s="877"/>
      <c r="Q11" s="180"/>
      <c r="R11" s="180"/>
      <c r="S11" s="180"/>
      <c r="T11" s="180"/>
      <c r="U11" s="180"/>
      <c r="V11" s="180"/>
      <c r="W11" s="180"/>
      <c r="X11" s="180"/>
      <c r="Y11" s="180"/>
      <c r="Z11" s="185"/>
      <c r="AA11" s="171"/>
    </row>
    <row r="12" spans="1:31" ht="56.9" customHeight="1" thickBot="1" x14ac:dyDescent="0.4">
      <c r="A12" s="541">
        <v>5</v>
      </c>
      <c r="B12" s="541">
        <v>5</v>
      </c>
      <c r="C12" s="541">
        <v>0.6</v>
      </c>
      <c r="D12" s="545">
        <f>(F12-F9)/C12/60</f>
        <v>0.83333333333333337</v>
      </c>
      <c r="E12" s="545">
        <f>B12+D12+E9</f>
        <v>27.722222222222225</v>
      </c>
      <c r="F12" s="229">
        <f>G9-G12+F9</f>
        <v>82</v>
      </c>
      <c r="G12" s="548">
        <v>170</v>
      </c>
      <c r="H12" s="542"/>
      <c r="I12" s="559" t="s">
        <v>68</v>
      </c>
      <c r="J12" s="559" t="s">
        <v>134</v>
      </c>
      <c r="K12" s="543" t="s">
        <v>116</v>
      </c>
      <c r="L12" s="471"/>
      <c r="M12" s="300">
        <v>183.46700000000001</v>
      </c>
      <c r="N12" s="300">
        <v>183.58850000000001</v>
      </c>
      <c r="O12" s="569">
        <f t="shared" si="0"/>
        <v>121.4999999999975</v>
      </c>
      <c r="P12" s="303"/>
      <c r="Q12" s="188"/>
      <c r="R12" s="188"/>
      <c r="S12" s="188"/>
      <c r="T12" s="188" t="s">
        <v>263</v>
      </c>
      <c r="U12" s="188"/>
      <c r="V12" s="188"/>
      <c r="W12" s="188" t="s">
        <v>263</v>
      </c>
      <c r="X12" s="188"/>
      <c r="Y12" s="188"/>
      <c r="Z12" s="188"/>
      <c r="AA12" s="171"/>
    </row>
    <row r="13" spans="1:31" ht="62.15" customHeight="1" thickBot="1" x14ac:dyDescent="0.4">
      <c r="A13" s="543">
        <v>6</v>
      </c>
      <c r="B13" s="543">
        <v>5</v>
      </c>
      <c r="C13" s="543">
        <f>$C$16</f>
        <v>0.6</v>
      </c>
      <c r="D13" s="545">
        <f>(F13-F12)/C13/60</f>
        <v>0.55555555555555558</v>
      </c>
      <c r="E13" s="545">
        <f>B13+D13+E12</f>
        <v>33.277777777777779</v>
      </c>
      <c r="F13" s="229">
        <f>G12-G13+F12</f>
        <v>102</v>
      </c>
      <c r="G13" s="548">
        <v>150</v>
      </c>
      <c r="H13" s="543"/>
      <c r="I13" s="561" t="s">
        <v>69</v>
      </c>
      <c r="J13" s="559" t="s">
        <v>135</v>
      </c>
      <c r="K13" s="543" t="s">
        <v>278</v>
      </c>
      <c r="L13" s="531"/>
      <c r="M13" s="299">
        <v>9.8034999999999997</v>
      </c>
      <c r="N13" s="299">
        <v>9.9309999999999992</v>
      </c>
      <c r="O13" s="569">
        <f t="shared" si="0"/>
        <v>127.4999999999995</v>
      </c>
      <c r="P13" s="550" t="s">
        <v>140</v>
      </c>
      <c r="Q13" s="185" t="s">
        <v>263</v>
      </c>
      <c r="R13" s="185"/>
      <c r="S13" s="185"/>
      <c r="T13" s="185"/>
      <c r="U13" s="185"/>
      <c r="V13" s="185"/>
      <c r="W13" s="185"/>
      <c r="X13" s="185"/>
      <c r="Y13" s="185"/>
      <c r="Z13" s="185"/>
      <c r="AA13" s="172"/>
    </row>
    <row r="14" spans="1:31" ht="62.15" customHeight="1" thickBot="1" x14ac:dyDescent="0.4">
      <c r="A14" s="549">
        <v>7</v>
      </c>
      <c r="B14" s="549">
        <v>5</v>
      </c>
      <c r="C14" s="549">
        <v>0.6</v>
      </c>
      <c r="D14" s="545">
        <f>(F14-F13)/C14/60</f>
        <v>0.55555555555555558</v>
      </c>
      <c r="E14" s="560">
        <f t="shared" ref="E14:E16" si="1">B14+D14+E13</f>
        <v>38.833333333333336</v>
      </c>
      <c r="F14" s="229">
        <f t="shared" ref="F14:F16" si="2">G13-G14+F13</f>
        <v>122</v>
      </c>
      <c r="G14" s="549">
        <v>130</v>
      </c>
      <c r="H14" s="549"/>
      <c r="I14" s="561" t="s">
        <v>71</v>
      </c>
      <c r="J14" s="559" t="s">
        <v>131</v>
      </c>
      <c r="K14" s="543" t="s">
        <v>116</v>
      </c>
      <c r="L14" s="471"/>
      <c r="M14" s="300">
        <v>77.622</v>
      </c>
      <c r="N14" s="300">
        <v>77.878</v>
      </c>
      <c r="O14" s="569">
        <f t="shared" si="0"/>
        <v>256.00000000000023</v>
      </c>
      <c r="P14" s="471"/>
      <c r="Q14" s="471"/>
      <c r="R14" s="188"/>
      <c r="S14" s="188"/>
      <c r="T14" s="188" t="s">
        <v>263</v>
      </c>
      <c r="U14" s="188"/>
      <c r="V14" s="188"/>
      <c r="W14" s="180" t="s">
        <v>263</v>
      </c>
      <c r="X14" s="188"/>
      <c r="Y14" s="188"/>
      <c r="Z14" s="188"/>
      <c r="AA14" s="304" t="s">
        <v>319</v>
      </c>
    </row>
    <row r="15" spans="1:31" ht="61.5" customHeight="1" thickBot="1" x14ac:dyDescent="0.4">
      <c r="A15" s="543">
        <v>8</v>
      </c>
      <c r="B15" s="543">
        <v>5</v>
      </c>
      <c r="C15" s="543">
        <f>$C$16</f>
        <v>0.6</v>
      </c>
      <c r="D15" s="545">
        <f t="shared" ref="D15:D17" si="3">(F15-F14)/C15/60</f>
        <v>0.55555555555555558</v>
      </c>
      <c r="E15" s="560">
        <f t="shared" si="1"/>
        <v>44.388888888888893</v>
      </c>
      <c r="F15" s="229">
        <f t="shared" si="2"/>
        <v>142</v>
      </c>
      <c r="G15" s="548">
        <v>110</v>
      </c>
      <c r="H15" s="543"/>
      <c r="I15" s="38" t="s">
        <v>70</v>
      </c>
      <c r="J15" s="564" t="s">
        <v>130</v>
      </c>
      <c r="K15" s="543" t="s">
        <v>278</v>
      </c>
      <c r="L15" s="471"/>
      <c r="M15" s="300">
        <v>14.343</v>
      </c>
      <c r="N15" s="300">
        <v>14.613</v>
      </c>
      <c r="O15" s="569">
        <f t="shared" si="0"/>
        <v>269.99999999999955</v>
      </c>
      <c r="P15" s="550" t="s">
        <v>140</v>
      </c>
      <c r="Q15" s="185" t="s">
        <v>263</v>
      </c>
      <c r="R15" s="185"/>
      <c r="S15" s="180"/>
      <c r="T15" s="180"/>
      <c r="U15" s="180"/>
      <c r="V15" s="180"/>
      <c r="W15" s="185"/>
      <c r="X15" s="180"/>
      <c r="Y15" s="185"/>
      <c r="Z15" s="185"/>
      <c r="AA15" s="172"/>
    </row>
    <row r="16" spans="1:31" ht="63.75" customHeight="1" thickBot="1" x14ac:dyDescent="0.4">
      <c r="A16" s="543">
        <v>9</v>
      </c>
      <c r="B16" s="543">
        <v>5</v>
      </c>
      <c r="C16" s="543">
        <v>0.6</v>
      </c>
      <c r="D16" s="545">
        <f>(F16-F15)/C16/60</f>
        <v>1.1111111111111112</v>
      </c>
      <c r="E16" s="560">
        <f t="shared" si="1"/>
        <v>50.5</v>
      </c>
      <c r="F16" s="229">
        <f t="shared" si="2"/>
        <v>182</v>
      </c>
      <c r="G16" s="548">
        <v>70</v>
      </c>
      <c r="H16" s="326"/>
      <c r="I16" s="561" t="s">
        <v>313</v>
      </c>
      <c r="J16" s="559" t="s">
        <v>129</v>
      </c>
      <c r="K16" s="543" t="s">
        <v>278</v>
      </c>
      <c r="L16" s="300"/>
      <c r="M16" s="300">
        <v>55.378999999999998</v>
      </c>
      <c r="N16" s="300">
        <v>55.524000000000001</v>
      </c>
      <c r="O16" s="569">
        <f t="shared" si="0"/>
        <v>145.00000000000313</v>
      </c>
      <c r="P16" s="550" t="s">
        <v>140</v>
      </c>
      <c r="Q16" s="185" t="s">
        <v>263</v>
      </c>
      <c r="R16" s="185"/>
      <c r="S16" s="185"/>
      <c r="T16" s="185"/>
      <c r="U16" s="185"/>
      <c r="V16" s="185"/>
      <c r="W16" s="185"/>
      <c r="X16" s="339"/>
      <c r="Y16" s="185"/>
      <c r="Z16" s="185"/>
      <c r="AA16" s="172" t="s">
        <v>317</v>
      </c>
    </row>
    <row r="17" spans="1:29" ht="53.9" customHeight="1" x14ac:dyDescent="0.35">
      <c r="A17" s="742">
        <v>10</v>
      </c>
      <c r="B17" s="742">
        <v>5</v>
      </c>
      <c r="C17" s="806">
        <f>$C$16</f>
        <v>0.6</v>
      </c>
      <c r="D17" s="852">
        <f t="shared" si="3"/>
        <v>0.55555555555555558</v>
      </c>
      <c r="E17" s="789">
        <f>E16+B17+D17</f>
        <v>56.055555555555557</v>
      </c>
      <c r="F17" s="858">
        <f t="shared" ref="F17" si="4">G16-G17+F16</f>
        <v>202</v>
      </c>
      <c r="G17" s="801">
        <v>50</v>
      </c>
      <c r="H17" s="871" t="s">
        <v>311</v>
      </c>
      <c r="I17" s="742" t="s">
        <v>27</v>
      </c>
      <c r="J17" s="562" t="s">
        <v>150</v>
      </c>
      <c r="K17" s="175" t="s">
        <v>279</v>
      </c>
      <c r="L17" s="297"/>
      <c r="M17" s="364">
        <v>6.4795999999999996</v>
      </c>
      <c r="N17" s="288">
        <v>6.6022999999999996</v>
      </c>
      <c r="O17" s="569">
        <f t="shared" si="0"/>
        <v>122.70000000000003</v>
      </c>
      <c r="P17" s="876"/>
      <c r="Q17" s="181"/>
      <c r="R17" s="181"/>
      <c r="S17" s="181"/>
      <c r="T17" s="181"/>
      <c r="U17" s="289"/>
      <c r="V17" s="340" t="s">
        <v>263</v>
      </c>
      <c r="W17" s="340"/>
      <c r="X17" s="298"/>
      <c r="Y17" s="340" t="s">
        <v>263</v>
      </c>
      <c r="Z17" s="340" t="s">
        <v>263</v>
      </c>
      <c r="AA17" s="370" t="s">
        <v>321</v>
      </c>
    </row>
    <row r="18" spans="1:29" ht="57.75" customHeight="1" x14ac:dyDescent="0.35">
      <c r="A18" s="742"/>
      <c r="B18" s="742"/>
      <c r="C18" s="742"/>
      <c r="D18" s="852"/>
      <c r="E18" s="789"/>
      <c r="F18" s="791"/>
      <c r="G18" s="801"/>
      <c r="H18" s="871"/>
      <c r="I18" s="742"/>
      <c r="J18" s="563" t="s">
        <v>151</v>
      </c>
      <c r="K18" s="176" t="s">
        <v>116</v>
      </c>
      <c r="L18" s="287"/>
      <c r="M18" s="363">
        <v>8.7966999999999995</v>
      </c>
      <c r="N18" s="287">
        <v>8.9224999999999994</v>
      </c>
      <c r="O18" s="917">
        <f t="shared" si="0"/>
        <v>125.79999999999991</v>
      </c>
      <c r="P18" s="876"/>
      <c r="Q18" s="183"/>
      <c r="R18" s="183"/>
      <c r="S18" s="183"/>
      <c r="T18" s="183" t="s">
        <v>263</v>
      </c>
      <c r="U18" s="183"/>
      <c r="V18" s="183"/>
      <c r="W18" s="183" t="s">
        <v>263</v>
      </c>
      <c r="X18" s="183"/>
      <c r="Y18" s="183"/>
      <c r="Z18" s="183"/>
      <c r="AA18" s="368" t="s">
        <v>322</v>
      </c>
    </row>
    <row r="19" spans="1:29" ht="64.5" customHeight="1" thickBot="1" x14ac:dyDescent="0.4">
      <c r="A19" s="743"/>
      <c r="B19" s="743"/>
      <c r="C19" s="743"/>
      <c r="D19" s="853"/>
      <c r="E19" s="790"/>
      <c r="F19" s="792"/>
      <c r="G19" s="802"/>
      <c r="H19" s="872"/>
      <c r="I19" s="743"/>
      <c r="J19" s="564" t="s">
        <v>179</v>
      </c>
      <c r="K19" s="542"/>
      <c r="L19" s="299"/>
      <c r="M19" s="365">
        <v>14.985900000000001</v>
      </c>
      <c r="N19" s="299">
        <v>15.2308</v>
      </c>
      <c r="O19" s="918">
        <f t="shared" si="0"/>
        <v>244.89999999999947</v>
      </c>
      <c r="P19" s="877"/>
      <c r="Q19" s="180"/>
      <c r="R19" s="180"/>
      <c r="S19" s="180"/>
      <c r="T19" s="180"/>
      <c r="U19" s="180"/>
      <c r="V19" s="180"/>
      <c r="W19" s="180"/>
      <c r="X19" s="180"/>
      <c r="Y19" s="180"/>
      <c r="Z19" s="185"/>
      <c r="AA19" s="171"/>
    </row>
    <row r="20" spans="1:29" ht="40.5" thickBot="1" x14ac:dyDescent="0.6">
      <c r="A20" s="24" t="s">
        <v>10</v>
      </c>
      <c r="B20" s="540">
        <f>SUM(B6:B19)</f>
        <v>50</v>
      </c>
      <c r="C20" s="540"/>
      <c r="D20" s="547">
        <f>SUM(D6:D19)</f>
        <v>6.0555555555555554</v>
      </c>
      <c r="E20" s="547">
        <f>D20+B20</f>
        <v>56.055555555555557</v>
      </c>
      <c r="F20" s="144">
        <f>G6</f>
        <v>260</v>
      </c>
      <c r="G20" s="827" t="s">
        <v>18</v>
      </c>
      <c r="H20" s="856"/>
      <c r="I20" s="856"/>
      <c r="J20" s="9"/>
      <c r="K20" s="145" t="s">
        <v>103</v>
      </c>
      <c r="L20" s="838" t="s">
        <v>102</v>
      </c>
      <c r="M20" s="855"/>
      <c r="N20" s="252" t="s">
        <v>53</v>
      </c>
      <c r="O20" s="22"/>
    </row>
    <row r="21" spans="1:29" ht="46" x14ac:dyDescent="0.35">
      <c r="A21" s="26" t="s">
        <v>12</v>
      </c>
      <c r="B21" s="541">
        <f>B20/60</f>
        <v>0.83333333333333337</v>
      </c>
      <c r="C21" s="541"/>
      <c r="D21" s="546" t="s">
        <v>14</v>
      </c>
      <c r="E21" s="546"/>
      <c r="F21" s="551"/>
      <c r="J21" s="95" t="s">
        <v>145</v>
      </c>
      <c r="K21" s="30">
        <v>44244</v>
      </c>
      <c r="L21" s="883">
        <v>0.34375</v>
      </c>
      <c r="M21" s="884"/>
      <c r="N21" s="367">
        <v>0.13541666666666666</v>
      </c>
      <c r="O21" s="22" t="s">
        <v>315</v>
      </c>
      <c r="AC21">
        <v>1</v>
      </c>
    </row>
    <row r="22" spans="1:29" ht="46" x14ac:dyDescent="0.35">
      <c r="J22" s="96" t="s">
        <v>45</v>
      </c>
      <c r="K22" s="30">
        <v>44244</v>
      </c>
      <c r="L22" s="881">
        <v>0.3888888888888889</v>
      </c>
      <c r="M22" s="885"/>
      <c r="N22" s="367">
        <v>0.18055555555555555</v>
      </c>
      <c r="O22" s="22"/>
    </row>
    <row r="23" spans="1:29" ht="46" x14ac:dyDescent="0.35">
      <c r="A23" s="1"/>
      <c r="B23" s="1"/>
      <c r="C23" s="1"/>
      <c r="D23" s="1"/>
      <c r="E23" s="1"/>
      <c r="F23" s="1"/>
      <c r="G23" s="1"/>
      <c r="J23" s="96" t="s">
        <v>46</v>
      </c>
      <c r="K23" s="30">
        <v>44244</v>
      </c>
      <c r="L23" s="881">
        <v>0.47222222222222227</v>
      </c>
      <c r="M23" s="882"/>
      <c r="N23" s="367">
        <v>0.2638888888888889</v>
      </c>
      <c r="O23" s="22"/>
    </row>
    <row r="24" spans="1:29" ht="46" x14ac:dyDescent="0.35">
      <c r="A24" s="857" t="s">
        <v>52</v>
      </c>
      <c r="B24" s="857"/>
      <c r="C24" s="857"/>
      <c r="D24" s="857"/>
      <c r="E24" s="857"/>
      <c r="F24" s="857"/>
      <c r="J24" s="96" t="s">
        <v>47</v>
      </c>
      <c r="K24" s="30">
        <v>44244</v>
      </c>
      <c r="L24" s="881"/>
      <c r="M24" s="882"/>
      <c r="N24" s="367"/>
      <c r="O24" s="22"/>
    </row>
    <row r="25" spans="1:29" ht="20" x14ac:dyDescent="0.4">
      <c r="A25" s="17" t="s">
        <v>51</v>
      </c>
      <c r="B25" s="17"/>
      <c r="C25" s="17"/>
      <c r="F25" s="9">
        <v>8</v>
      </c>
      <c r="G25" s="20" t="s">
        <v>11</v>
      </c>
      <c r="J25" s="17"/>
      <c r="K25" s="19"/>
      <c r="O25" s="22"/>
    </row>
    <row r="26" spans="1:29" ht="60" x14ac:dyDescent="0.7">
      <c r="A26" s="120"/>
      <c r="E26" s="146" t="s">
        <v>316</v>
      </c>
      <c r="F26" s="145"/>
      <c r="G26" s="17"/>
      <c r="J26" s="10" t="s">
        <v>50</v>
      </c>
      <c r="K26" s="31">
        <f>E20+F26</f>
        <v>56.055555555555557</v>
      </c>
      <c r="O26" s="22"/>
    </row>
    <row r="27" spans="1:29" ht="60" x14ac:dyDescent="0.7">
      <c r="A27" s="146"/>
      <c r="C27" s="120"/>
      <c r="F27" s="17"/>
      <c r="G27" s="17"/>
      <c r="H27" s="17"/>
      <c r="I27" s="15"/>
      <c r="J27" s="10" t="s">
        <v>49</v>
      </c>
      <c r="K27" s="31">
        <f>D20+5*A17+F26</f>
        <v>56.055555555555557</v>
      </c>
      <c r="O27" s="22"/>
    </row>
    <row r="28" spans="1:29" ht="29.5" x14ac:dyDescent="0.55000000000000004">
      <c r="A28" s="147"/>
      <c r="B28" s="20"/>
      <c r="C28" s="17"/>
      <c r="I28" s="9"/>
      <c r="J28" s="1"/>
      <c r="K28" s="1"/>
      <c r="L28" s="1"/>
      <c r="M28" s="2"/>
    </row>
    <row r="29" spans="1:29" ht="20" x14ac:dyDescent="0.4">
      <c r="C29" s="17"/>
      <c r="D29" s="17"/>
      <c r="E29" s="17"/>
      <c r="F29" s="17"/>
      <c r="I29" s="15"/>
      <c r="J29" s="1"/>
      <c r="K29" s="1"/>
      <c r="L29" s="1"/>
      <c r="M29" s="2"/>
    </row>
    <row r="30" spans="1:29" ht="20" x14ac:dyDescent="0.4">
      <c r="A30" s="19"/>
      <c r="B30" s="20"/>
      <c r="C30" s="17"/>
      <c r="D30" s="17"/>
      <c r="E30" s="23"/>
      <c r="F30" s="17"/>
      <c r="G30" s="17"/>
      <c r="H30" s="17"/>
      <c r="I30" s="15"/>
      <c r="J30" s="1"/>
      <c r="K30" s="1"/>
      <c r="L30" s="1"/>
      <c r="M30" s="2"/>
      <c r="N30" s="2"/>
      <c r="O30" s="2"/>
    </row>
    <row r="31" spans="1:29" ht="20" x14ac:dyDescent="0.4">
      <c r="A31" s="19"/>
      <c r="B31" s="20"/>
      <c r="C31" s="17"/>
      <c r="D31" s="17"/>
      <c r="E31" s="17"/>
      <c r="F31" s="17"/>
      <c r="G31" s="17"/>
      <c r="H31" s="17"/>
      <c r="I31" s="15"/>
      <c r="J31" s="1"/>
      <c r="K31" s="1"/>
      <c r="L31" s="1"/>
      <c r="M31" s="2"/>
    </row>
    <row r="32" spans="1:29" ht="18.5" x14ac:dyDescent="0.45">
      <c r="A32" s="16"/>
      <c r="B32" s="16"/>
      <c r="C32" s="16"/>
      <c r="D32" s="16"/>
      <c r="E32" s="16"/>
      <c r="F32" s="16"/>
      <c r="G32" s="16"/>
      <c r="H32" s="16"/>
      <c r="I32" s="16"/>
    </row>
    <row r="86" spans="13:13" x14ac:dyDescent="0.35">
      <c r="M86" t="s">
        <v>14</v>
      </c>
    </row>
  </sheetData>
  <mergeCells count="31">
    <mergeCell ref="F17:F19"/>
    <mergeCell ref="M3:O3"/>
    <mergeCell ref="Q4:S4"/>
    <mergeCell ref="T4:X4"/>
    <mergeCell ref="L5:M5"/>
    <mergeCell ref="G17:G19"/>
    <mergeCell ref="H17:H19"/>
    <mergeCell ref="I17:I19"/>
    <mergeCell ref="P17:P19"/>
    <mergeCell ref="P9:P11"/>
    <mergeCell ref="G20:I20"/>
    <mergeCell ref="L20:M20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A17:A19"/>
    <mergeCell ref="B17:B19"/>
    <mergeCell ref="C17:C19"/>
    <mergeCell ref="D17:D19"/>
    <mergeCell ref="E17:E19"/>
    <mergeCell ref="L21:M21"/>
    <mergeCell ref="L22:M22"/>
    <mergeCell ref="L23:M23"/>
    <mergeCell ref="A24:F24"/>
    <mergeCell ref="L24:M24"/>
  </mergeCells>
  <pageMargins left="0.7" right="0.7" top="0.75" bottom="0.75" header="0.3" footer="0.3"/>
  <pageSetup paperSize="9" scale="2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"/>
  <sheetViews>
    <sheetView topLeftCell="A6" zoomScale="50" zoomScaleNormal="50" workbookViewId="0">
      <selection activeCell="X25" sqref="X25"/>
    </sheetView>
  </sheetViews>
  <sheetFormatPr defaultColWidth="11.453125" defaultRowHeight="14.5" x14ac:dyDescent="0.35"/>
  <cols>
    <col min="1" max="1" width="13.08984375" customWidth="1"/>
    <col min="2" max="2" width="13" customWidth="1"/>
    <col min="3" max="3" width="10.453125" bestFit="1" customWidth="1"/>
    <col min="4" max="4" width="13.453125" customWidth="1"/>
    <col min="5" max="5" width="11.453125" bestFit="1" customWidth="1"/>
    <col min="6" max="6" width="16" customWidth="1"/>
    <col min="7" max="8" width="13.90625" customWidth="1"/>
    <col min="9" max="9" width="14.453125" customWidth="1"/>
    <col min="10" max="11" width="16.453125" customWidth="1"/>
    <col min="12" max="12" width="11.453125" customWidth="1"/>
    <col min="13" max="13" width="9.453125" customWidth="1"/>
    <col min="14" max="14" width="20.453125" customWidth="1"/>
    <col min="15" max="15" width="19" customWidth="1"/>
    <col min="16" max="16" width="6.453125" customWidth="1"/>
    <col min="17" max="17" width="8.453125" customWidth="1"/>
    <col min="18" max="19" width="7.453125" customWidth="1"/>
    <col min="20" max="20" width="8.08984375" bestFit="1" customWidth="1"/>
    <col min="21" max="21" width="10.453125" customWidth="1"/>
    <col min="22" max="22" width="6.453125" customWidth="1"/>
    <col min="23" max="23" width="5.08984375" bestFit="1" customWidth="1"/>
    <col min="24" max="24" width="42" customWidth="1"/>
  </cols>
  <sheetData>
    <row r="1" spans="1:25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</row>
    <row r="2" spans="1:25" ht="41.25" customHeight="1" x14ac:dyDescent="0.65">
      <c r="A2" s="84" t="s">
        <v>36</v>
      </c>
      <c r="B2" s="83"/>
      <c r="C2" s="98" t="s">
        <v>101</v>
      </c>
      <c r="D2" s="83"/>
      <c r="H2" s="87" t="s">
        <v>96</v>
      </c>
      <c r="I2" s="88">
        <v>25</v>
      </c>
      <c r="J2" s="89" t="s">
        <v>99</v>
      </c>
      <c r="K2" s="1"/>
      <c r="L2" s="1"/>
      <c r="M2" s="2"/>
      <c r="N2" s="2"/>
      <c r="O2" s="2"/>
    </row>
    <row r="3" spans="1:25" ht="30" x14ac:dyDescent="0.6">
      <c r="A3" s="19"/>
      <c r="B3" s="20"/>
      <c r="C3" s="192" t="s">
        <v>180</v>
      </c>
      <c r="D3" s="192">
        <v>4978</v>
      </c>
      <c r="E3" s="17" t="s">
        <v>11</v>
      </c>
      <c r="F3" s="1"/>
      <c r="G3" s="1"/>
      <c r="H3" s="90" t="s">
        <v>97</v>
      </c>
      <c r="I3" s="88">
        <v>51</v>
      </c>
      <c r="J3" s="89" t="s">
        <v>100</v>
      </c>
      <c r="K3" s="1"/>
      <c r="L3" s="1"/>
      <c r="M3" s="2"/>
      <c r="N3" s="2"/>
      <c r="O3" s="2"/>
    </row>
    <row r="4" spans="1:25" ht="28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778" t="s">
        <v>38</v>
      </c>
      <c r="R4" s="779"/>
      <c r="S4" s="780"/>
      <c r="T4" s="781" t="s">
        <v>43</v>
      </c>
      <c r="U4" s="782"/>
      <c r="V4" s="782"/>
      <c r="W4" s="783"/>
      <c r="X4" s="13" t="s">
        <v>48</v>
      </c>
    </row>
    <row r="5" spans="1:25" ht="80" x14ac:dyDescent="0.35">
      <c r="A5" s="10" t="s">
        <v>98</v>
      </c>
      <c r="B5" s="10" t="s">
        <v>0</v>
      </c>
      <c r="C5" s="10" t="s">
        <v>17</v>
      </c>
      <c r="D5" s="10" t="s">
        <v>1</v>
      </c>
      <c r="E5" s="11" t="s">
        <v>2</v>
      </c>
      <c r="F5" s="12" t="s">
        <v>3</v>
      </c>
      <c r="G5" s="13" t="s">
        <v>4</v>
      </c>
      <c r="H5" s="13" t="s">
        <v>5</v>
      </c>
      <c r="I5" s="10" t="s">
        <v>16</v>
      </c>
      <c r="J5" s="14" t="s">
        <v>15</v>
      </c>
      <c r="K5" s="64" t="s">
        <v>66</v>
      </c>
      <c r="L5" s="770" t="s">
        <v>6</v>
      </c>
      <c r="M5" s="771"/>
      <c r="N5" s="10" t="s">
        <v>7</v>
      </c>
      <c r="O5" s="10" t="s">
        <v>8</v>
      </c>
      <c r="P5" s="10" t="s">
        <v>114</v>
      </c>
      <c r="Q5" s="29" t="s">
        <v>42</v>
      </c>
      <c r="R5" s="29" t="s">
        <v>37</v>
      </c>
      <c r="S5" s="29" t="s">
        <v>44</v>
      </c>
      <c r="T5" s="28" t="s">
        <v>41</v>
      </c>
      <c r="U5" s="28" t="s">
        <v>39</v>
      </c>
      <c r="V5" s="28" t="s">
        <v>40</v>
      </c>
      <c r="W5" s="28" t="s">
        <v>42</v>
      </c>
      <c r="X5" s="53"/>
    </row>
    <row r="6" spans="1:25" ht="20.9" customHeight="1" x14ac:dyDescent="0.35">
      <c r="A6" s="793">
        <v>1</v>
      </c>
      <c r="B6" s="793">
        <v>15</v>
      </c>
      <c r="C6" s="793">
        <v>0.5</v>
      </c>
      <c r="D6" s="797">
        <f>ABS(F6/C7/60)</f>
        <v>0.23333333333333334</v>
      </c>
      <c r="E6" s="797">
        <f>D6+B7</f>
        <v>15.233333333333333</v>
      </c>
      <c r="F6" s="800">
        <v>-7</v>
      </c>
      <c r="G6" s="793">
        <v>1000</v>
      </c>
      <c r="H6" s="794"/>
      <c r="I6" s="786" t="s">
        <v>19</v>
      </c>
      <c r="J6" s="786" t="s">
        <v>20</v>
      </c>
      <c r="K6" s="786" t="s">
        <v>64</v>
      </c>
      <c r="L6" s="772">
        <v>20520</v>
      </c>
      <c r="M6" s="773"/>
      <c r="N6" s="786">
        <v>20350</v>
      </c>
      <c r="O6" s="786">
        <f>N6-L6</f>
        <v>-170</v>
      </c>
      <c r="P6" s="107"/>
      <c r="Q6" s="768" t="s">
        <v>54</v>
      </c>
      <c r="R6" s="768" t="s">
        <v>54</v>
      </c>
      <c r="S6" s="768" t="s">
        <v>54</v>
      </c>
      <c r="T6" s="757"/>
      <c r="U6" s="757"/>
      <c r="V6" s="757"/>
      <c r="W6" s="757"/>
      <c r="X6" s="744" t="s">
        <v>138</v>
      </c>
    </row>
    <row r="7" spans="1:25" ht="15.75" customHeight="1" x14ac:dyDescent="0.35">
      <c r="A7" s="742"/>
      <c r="B7" s="742">
        <v>15</v>
      </c>
      <c r="C7" s="742">
        <v>0.5</v>
      </c>
      <c r="D7" s="798"/>
      <c r="E7" s="798"/>
      <c r="F7" s="791"/>
      <c r="G7" s="742"/>
      <c r="H7" s="795"/>
      <c r="I7" s="787"/>
      <c r="J7" s="787"/>
      <c r="K7" s="787"/>
      <c r="L7" s="774"/>
      <c r="M7" s="775"/>
      <c r="N7" s="787" t="s">
        <v>9</v>
      </c>
      <c r="O7" s="787" t="s">
        <v>9</v>
      </c>
      <c r="P7" s="108" t="s">
        <v>115</v>
      </c>
      <c r="Q7" s="768"/>
      <c r="R7" s="768"/>
      <c r="S7" s="768"/>
      <c r="T7" s="757"/>
      <c r="U7" s="757"/>
      <c r="V7" s="757"/>
      <c r="W7" s="757"/>
      <c r="X7" s="744"/>
    </row>
    <row r="8" spans="1:25" ht="15.75" customHeight="1" thickBot="1" x14ac:dyDescent="0.4">
      <c r="A8" s="743"/>
      <c r="B8" s="743"/>
      <c r="C8" s="743"/>
      <c r="D8" s="799"/>
      <c r="E8" s="799"/>
      <c r="F8" s="792"/>
      <c r="G8" s="743"/>
      <c r="H8" s="796"/>
      <c r="I8" s="788"/>
      <c r="J8" s="788"/>
      <c r="K8" s="788"/>
      <c r="L8" s="776"/>
      <c r="M8" s="777"/>
      <c r="N8" s="788"/>
      <c r="O8" s="788"/>
      <c r="P8" s="109"/>
      <c r="Q8" s="769"/>
      <c r="R8" s="769"/>
      <c r="S8" s="769"/>
      <c r="T8" s="758"/>
      <c r="U8" s="758"/>
      <c r="V8" s="758"/>
      <c r="W8" s="758"/>
      <c r="X8" s="745"/>
    </row>
    <row r="9" spans="1:25" ht="46.5" customHeight="1" thickBot="1" x14ac:dyDescent="0.4">
      <c r="A9" s="67">
        <v>2</v>
      </c>
      <c r="B9" s="32">
        <v>15</v>
      </c>
      <c r="C9" s="32">
        <v>0.5</v>
      </c>
      <c r="D9" s="33">
        <f>(F9-F6)/C9/60</f>
        <v>6.666666666666667</v>
      </c>
      <c r="E9" s="33">
        <f>E6+B9+D9</f>
        <v>36.9</v>
      </c>
      <c r="F9" s="34">
        <f>G$6-G9-$F$30+1</f>
        <v>193</v>
      </c>
      <c r="G9" s="32">
        <v>800</v>
      </c>
      <c r="H9" s="35"/>
      <c r="I9" s="36" t="s">
        <v>21</v>
      </c>
      <c r="J9" s="32" t="s">
        <v>22</v>
      </c>
      <c r="K9" s="63" t="s">
        <v>64</v>
      </c>
      <c r="L9" s="734">
        <v>8342</v>
      </c>
      <c r="M9" s="735"/>
      <c r="N9" s="32">
        <v>8147</v>
      </c>
      <c r="O9" s="32">
        <f>N9-L9</f>
        <v>-195</v>
      </c>
      <c r="P9" s="106"/>
      <c r="Q9" s="37" t="s">
        <v>54</v>
      </c>
      <c r="R9" s="37" t="s">
        <v>54</v>
      </c>
      <c r="S9" s="37" t="s">
        <v>54</v>
      </c>
      <c r="T9" s="44"/>
      <c r="U9" s="44"/>
      <c r="V9" s="44"/>
      <c r="W9" s="44"/>
      <c r="X9" s="54" t="s">
        <v>138</v>
      </c>
    </row>
    <row r="10" spans="1:25" ht="32.25" customHeight="1" x14ac:dyDescent="0.35">
      <c r="A10" s="806">
        <v>3</v>
      </c>
      <c r="B10" s="742">
        <v>15</v>
      </c>
      <c r="C10" s="742">
        <v>0.5</v>
      </c>
      <c r="D10" s="789">
        <f>(F10-F9)/C10/60</f>
        <v>10</v>
      </c>
      <c r="E10" s="789">
        <f>E9+B10+D10</f>
        <v>61.9</v>
      </c>
      <c r="F10" s="791">
        <f>G$9-G10+F9</f>
        <v>493</v>
      </c>
      <c r="G10" s="742">
        <v>500</v>
      </c>
      <c r="H10" s="784"/>
      <c r="I10" s="742" t="s">
        <v>23</v>
      </c>
      <c r="J10" s="760" t="s">
        <v>24</v>
      </c>
      <c r="K10" s="60" t="s">
        <v>65</v>
      </c>
      <c r="L10" s="24" t="s">
        <v>33</v>
      </c>
      <c r="M10" s="8">
        <v>760</v>
      </c>
      <c r="N10" s="8">
        <v>1108.5</v>
      </c>
      <c r="O10" s="8">
        <f>N10-M10</f>
        <v>348.5</v>
      </c>
      <c r="P10" s="114"/>
      <c r="Q10" s="45"/>
      <c r="R10" s="45"/>
      <c r="S10" s="45"/>
      <c r="T10" s="46" t="s">
        <v>54</v>
      </c>
      <c r="U10" s="46"/>
      <c r="V10" s="46" t="s">
        <v>54</v>
      </c>
      <c r="W10" s="46"/>
      <c r="X10" s="55"/>
    </row>
    <row r="11" spans="1:25" ht="32.9" customHeight="1" x14ac:dyDescent="0.35">
      <c r="A11" s="742"/>
      <c r="B11" s="742"/>
      <c r="C11" s="742"/>
      <c r="D11" s="789"/>
      <c r="E11" s="789"/>
      <c r="F11" s="791"/>
      <c r="G11" s="742"/>
      <c r="H11" s="784"/>
      <c r="I11" s="742"/>
      <c r="J11" s="760"/>
      <c r="K11" s="60" t="s">
        <v>64</v>
      </c>
      <c r="L11" s="26" t="s">
        <v>34</v>
      </c>
      <c r="M11" s="25">
        <v>1271.4000000000001</v>
      </c>
      <c r="N11" s="25">
        <v>1323.1</v>
      </c>
      <c r="O11" s="25">
        <f>N11-M11</f>
        <v>51.699999999999818</v>
      </c>
      <c r="P11" s="115"/>
      <c r="Q11" s="47"/>
      <c r="R11" s="47"/>
      <c r="S11" s="47"/>
      <c r="T11" s="48"/>
      <c r="U11" s="48" t="s">
        <v>54</v>
      </c>
      <c r="V11" s="48"/>
      <c r="W11" s="48" t="s">
        <v>54</v>
      </c>
      <c r="X11" s="56"/>
    </row>
    <row r="12" spans="1:25" ht="26.25" customHeight="1" thickBot="1" x14ac:dyDescent="0.4">
      <c r="A12" s="743"/>
      <c r="B12" s="743"/>
      <c r="C12" s="743"/>
      <c r="D12" s="790"/>
      <c r="E12" s="790"/>
      <c r="F12" s="792"/>
      <c r="G12" s="743"/>
      <c r="H12" s="785"/>
      <c r="I12" s="743"/>
      <c r="J12" s="761"/>
      <c r="K12" s="61"/>
      <c r="L12" s="38" t="s">
        <v>35</v>
      </c>
      <c r="M12" s="39">
        <v>1857.9</v>
      </c>
      <c r="N12" s="39">
        <v>2273.1</v>
      </c>
      <c r="O12" s="39">
        <f>N12-M12</f>
        <v>415.19999999999982</v>
      </c>
      <c r="P12" s="116"/>
      <c r="Q12" s="49"/>
      <c r="R12" s="49"/>
      <c r="S12" s="49"/>
      <c r="T12" s="50"/>
      <c r="U12" s="50"/>
      <c r="V12" s="50"/>
      <c r="W12" s="50"/>
      <c r="X12" s="57"/>
    </row>
    <row r="13" spans="1:25" ht="15.75" customHeight="1" x14ac:dyDescent="0.35">
      <c r="A13" s="806">
        <v>4</v>
      </c>
      <c r="B13" s="742">
        <v>15</v>
      </c>
      <c r="C13" s="742">
        <v>0.5</v>
      </c>
      <c r="D13" s="789">
        <f>(F13-F10)/C13/60</f>
        <v>6.666666666666667</v>
      </c>
      <c r="E13" s="789">
        <f>E10+B13+D13</f>
        <v>83.566666666666677</v>
      </c>
      <c r="F13" s="791">
        <f>G10-G13+F10</f>
        <v>693</v>
      </c>
      <c r="G13" s="742">
        <v>300</v>
      </c>
      <c r="H13" s="784"/>
      <c r="I13" s="801" t="s">
        <v>25</v>
      </c>
      <c r="J13" s="742" t="s">
        <v>26</v>
      </c>
      <c r="K13" s="786" t="s">
        <v>64</v>
      </c>
      <c r="L13" s="732">
        <v>26680</v>
      </c>
      <c r="M13" s="733"/>
      <c r="N13" s="742">
        <v>26469</v>
      </c>
      <c r="O13" s="742">
        <f>N13-L13</f>
        <v>-211</v>
      </c>
      <c r="P13" s="105"/>
      <c r="Q13" s="754" t="s">
        <v>54</v>
      </c>
      <c r="R13" s="754" t="s">
        <v>54</v>
      </c>
      <c r="S13" s="754" t="s">
        <v>54</v>
      </c>
      <c r="T13" s="751"/>
      <c r="U13" s="751"/>
      <c r="V13" s="751"/>
      <c r="W13" s="751"/>
      <c r="X13" s="746" t="s">
        <v>139</v>
      </c>
      <c r="Y13" s="40"/>
    </row>
    <row r="14" spans="1:25" ht="15.75" customHeight="1" x14ac:dyDescent="0.35">
      <c r="A14" s="742"/>
      <c r="B14" s="742"/>
      <c r="C14" s="742"/>
      <c r="D14" s="789"/>
      <c r="E14" s="789"/>
      <c r="F14" s="791"/>
      <c r="G14" s="742"/>
      <c r="H14" s="784"/>
      <c r="I14" s="801"/>
      <c r="J14" s="742"/>
      <c r="K14" s="787"/>
      <c r="L14" s="732"/>
      <c r="M14" s="733"/>
      <c r="N14" s="742"/>
      <c r="O14" s="742"/>
      <c r="P14" s="105"/>
      <c r="Q14" s="755"/>
      <c r="R14" s="755"/>
      <c r="S14" s="755"/>
      <c r="T14" s="752"/>
      <c r="U14" s="752"/>
      <c r="V14" s="752"/>
      <c r="W14" s="752"/>
      <c r="X14" s="744"/>
      <c r="Y14" s="40"/>
    </row>
    <row r="15" spans="1:25" ht="18" customHeight="1" thickBot="1" x14ac:dyDescent="0.4">
      <c r="A15" s="743"/>
      <c r="B15" s="743"/>
      <c r="C15" s="743"/>
      <c r="D15" s="790"/>
      <c r="E15" s="790"/>
      <c r="F15" s="792"/>
      <c r="G15" s="743"/>
      <c r="H15" s="785"/>
      <c r="I15" s="802"/>
      <c r="J15" s="743"/>
      <c r="K15" s="788"/>
      <c r="L15" s="734"/>
      <c r="M15" s="735"/>
      <c r="N15" s="743"/>
      <c r="O15" s="743"/>
      <c r="P15" s="106"/>
      <c r="Q15" s="756"/>
      <c r="R15" s="756"/>
      <c r="S15" s="756"/>
      <c r="T15" s="753"/>
      <c r="U15" s="753"/>
      <c r="V15" s="753"/>
      <c r="W15" s="753"/>
      <c r="X15" s="747"/>
      <c r="Y15" s="41"/>
    </row>
    <row r="16" spans="1:25" ht="31.5" customHeight="1" x14ac:dyDescent="0.35">
      <c r="A16" s="806">
        <v>5</v>
      </c>
      <c r="B16" s="806">
        <v>15</v>
      </c>
      <c r="C16" s="806">
        <v>0.5</v>
      </c>
      <c r="D16" s="807">
        <f>(F16-F13)/C16/60</f>
        <v>6</v>
      </c>
      <c r="E16" s="807">
        <f>E13+B16+D16</f>
        <v>104.56666666666668</v>
      </c>
      <c r="F16" s="808">
        <f>G13-G16+F13</f>
        <v>873</v>
      </c>
      <c r="G16" s="806">
        <v>120</v>
      </c>
      <c r="H16" s="809"/>
      <c r="I16" s="806" t="s">
        <v>27</v>
      </c>
      <c r="J16" s="759" t="s">
        <v>28</v>
      </c>
      <c r="K16" s="62" t="s">
        <v>65</v>
      </c>
      <c r="L16" s="42" t="s">
        <v>33</v>
      </c>
      <c r="M16" s="43">
        <v>1897.6</v>
      </c>
      <c r="N16" s="43">
        <v>2215.3000000000002</v>
      </c>
      <c r="O16" s="43">
        <f>N16-M16</f>
        <v>317.70000000000027</v>
      </c>
      <c r="P16" s="43"/>
      <c r="Q16" s="51"/>
      <c r="R16" s="51"/>
      <c r="S16" s="51"/>
      <c r="T16" s="52" t="s">
        <v>54</v>
      </c>
      <c r="U16" s="52"/>
      <c r="V16" s="52" t="s">
        <v>54</v>
      </c>
      <c r="W16" s="52"/>
      <c r="X16" s="58"/>
    </row>
    <row r="17" spans="1:24" ht="35.9" customHeight="1" x14ac:dyDescent="0.35">
      <c r="A17" s="742"/>
      <c r="B17" s="742"/>
      <c r="C17" s="742"/>
      <c r="D17" s="789"/>
      <c r="E17" s="789"/>
      <c r="F17" s="791"/>
      <c r="G17" s="742"/>
      <c r="H17" s="784"/>
      <c r="I17" s="742"/>
      <c r="J17" s="760"/>
      <c r="K17" s="60" t="s">
        <v>64</v>
      </c>
      <c r="L17" s="26" t="s">
        <v>34</v>
      </c>
      <c r="M17" s="25">
        <v>1669</v>
      </c>
      <c r="N17" s="25">
        <v>1762</v>
      </c>
      <c r="O17" s="25">
        <f>N17-M17</f>
        <v>93</v>
      </c>
      <c r="P17" s="115"/>
      <c r="Q17" s="47"/>
      <c r="R17" s="47"/>
      <c r="S17" s="47"/>
      <c r="T17" s="48"/>
      <c r="U17" s="48" t="s">
        <v>54</v>
      </c>
      <c r="V17" s="48"/>
      <c r="W17" s="48" t="s">
        <v>54</v>
      </c>
      <c r="X17" s="56" t="s">
        <v>55</v>
      </c>
    </row>
    <row r="18" spans="1:24" ht="30.75" customHeight="1" thickBot="1" x14ac:dyDescent="0.4">
      <c r="A18" s="743"/>
      <c r="B18" s="743"/>
      <c r="C18" s="743"/>
      <c r="D18" s="790"/>
      <c r="E18" s="790"/>
      <c r="F18" s="792"/>
      <c r="G18" s="743"/>
      <c r="H18" s="785"/>
      <c r="I18" s="743"/>
      <c r="J18" s="761"/>
      <c r="K18" s="61"/>
      <c r="L18" s="38" t="s">
        <v>35</v>
      </c>
      <c r="M18" s="39">
        <v>3355.5</v>
      </c>
      <c r="N18" s="39">
        <v>3764.4</v>
      </c>
      <c r="O18" s="39">
        <f>N18-M18</f>
        <v>408.90000000000009</v>
      </c>
      <c r="P18" s="116"/>
      <c r="Q18" s="49"/>
      <c r="R18" s="49"/>
      <c r="S18" s="49"/>
      <c r="T18" s="50"/>
      <c r="U18" s="50"/>
      <c r="V18" s="50"/>
      <c r="W18" s="50"/>
      <c r="X18" s="57"/>
    </row>
    <row r="19" spans="1:24" ht="15.75" customHeight="1" x14ac:dyDescent="0.35">
      <c r="A19" s="806">
        <v>6</v>
      </c>
      <c r="B19" s="742">
        <v>15</v>
      </c>
      <c r="C19" s="742">
        <v>0.5</v>
      </c>
      <c r="D19" s="789">
        <f>(F19-F16)/C19/60</f>
        <v>1.3333333333333333</v>
      </c>
      <c r="E19" s="789">
        <f>E16+B19+D19</f>
        <v>120.9</v>
      </c>
      <c r="F19" s="791">
        <f>G16-G19+F16</f>
        <v>913</v>
      </c>
      <c r="G19" s="742">
        <v>80</v>
      </c>
      <c r="H19" s="784"/>
      <c r="I19" s="801" t="s">
        <v>29</v>
      </c>
      <c r="J19" s="801" t="s">
        <v>30</v>
      </c>
      <c r="K19" s="786" t="s">
        <v>64</v>
      </c>
      <c r="L19" s="732">
        <v>45020</v>
      </c>
      <c r="M19" s="733"/>
      <c r="N19" s="742">
        <v>44825</v>
      </c>
      <c r="O19" s="742">
        <f>N19-L19</f>
        <v>-195</v>
      </c>
      <c r="P19" s="105"/>
      <c r="Q19" s="754"/>
      <c r="R19" s="754"/>
      <c r="S19" s="754"/>
      <c r="T19" s="751"/>
      <c r="U19" s="751" t="s">
        <v>54</v>
      </c>
      <c r="V19" s="751"/>
      <c r="W19" s="751" t="s">
        <v>54</v>
      </c>
      <c r="X19" s="746" t="s">
        <v>139</v>
      </c>
    </row>
    <row r="20" spans="1:24" ht="15.75" customHeight="1" x14ac:dyDescent="0.35">
      <c r="A20" s="742"/>
      <c r="B20" s="742"/>
      <c r="C20" s="742"/>
      <c r="D20" s="789"/>
      <c r="E20" s="789"/>
      <c r="F20" s="791"/>
      <c r="G20" s="742"/>
      <c r="H20" s="784"/>
      <c r="I20" s="801"/>
      <c r="J20" s="801"/>
      <c r="K20" s="787"/>
      <c r="L20" s="732"/>
      <c r="M20" s="733"/>
      <c r="N20" s="742"/>
      <c r="O20" s="742"/>
      <c r="P20" s="105"/>
      <c r="Q20" s="755"/>
      <c r="R20" s="755"/>
      <c r="S20" s="755"/>
      <c r="T20" s="752"/>
      <c r="U20" s="752"/>
      <c r="V20" s="752"/>
      <c r="W20" s="752"/>
      <c r="X20" s="744"/>
    </row>
    <row r="21" spans="1:24" ht="15.75" customHeight="1" thickBot="1" x14ac:dyDescent="0.4">
      <c r="A21" s="743"/>
      <c r="B21" s="743"/>
      <c r="C21" s="743"/>
      <c r="D21" s="790"/>
      <c r="E21" s="790"/>
      <c r="F21" s="792"/>
      <c r="G21" s="743"/>
      <c r="H21" s="785"/>
      <c r="I21" s="802"/>
      <c r="J21" s="802"/>
      <c r="K21" s="788"/>
      <c r="L21" s="734"/>
      <c r="M21" s="735"/>
      <c r="N21" s="743"/>
      <c r="O21" s="743"/>
      <c r="P21" s="106"/>
      <c r="Q21" s="756"/>
      <c r="R21" s="756"/>
      <c r="S21" s="756"/>
      <c r="T21" s="753"/>
      <c r="U21" s="753"/>
      <c r="V21" s="753"/>
      <c r="W21" s="753"/>
      <c r="X21" s="745"/>
    </row>
    <row r="22" spans="1:24" ht="15.75" customHeight="1" x14ac:dyDescent="0.35">
      <c r="A22" s="806">
        <v>7</v>
      </c>
      <c r="B22" s="742">
        <v>15</v>
      </c>
      <c r="C22" s="742">
        <v>0.5</v>
      </c>
      <c r="D22" s="789">
        <f>(F22-F19)/C22/60</f>
        <v>2</v>
      </c>
      <c r="E22" s="789">
        <f>E19+B22+D22</f>
        <v>137.9</v>
      </c>
      <c r="F22" s="791">
        <f>G19-G22+F19</f>
        <v>973</v>
      </c>
      <c r="G22" s="742">
        <v>20</v>
      </c>
      <c r="H22" s="784"/>
      <c r="I22" s="736" t="s">
        <v>31</v>
      </c>
      <c r="J22" s="736" t="s">
        <v>32</v>
      </c>
      <c r="K22" s="786" t="s">
        <v>64</v>
      </c>
      <c r="L22" s="732">
        <v>41420</v>
      </c>
      <c r="M22" s="733"/>
      <c r="N22" s="739">
        <v>41759</v>
      </c>
      <c r="O22" s="742">
        <f>N22-L22</f>
        <v>339</v>
      </c>
      <c r="P22" s="105"/>
      <c r="Q22" s="754" t="s">
        <v>54</v>
      </c>
      <c r="R22" s="754" t="s">
        <v>54</v>
      </c>
      <c r="S22" s="754" t="s">
        <v>54</v>
      </c>
      <c r="T22" s="751"/>
      <c r="U22" s="751"/>
      <c r="V22" s="751"/>
      <c r="W22" s="751"/>
      <c r="X22" s="748" t="s">
        <v>82</v>
      </c>
    </row>
    <row r="23" spans="1:24" ht="15.75" customHeight="1" x14ac:dyDescent="0.35">
      <c r="A23" s="742"/>
      <c r="B23" s="742"/>
      <c r="C23" s="742"/>
      <c r="D23" s="789"/>
      <c r="E23" s="789"/>
      <c r="F23" s="791"/>
      <c r="G23" s="742"/>
      <c r="H23" s="784"/>
      <c r="I23" s="737"/>
      <c r="J23" s="737"/>
      <c r="K23" s="787"/>
      <c r="L23" s="732"/>
      <c r="M23" s="733"/>
      <c r="N23" s="740"/>
      <c r="O23" s="742"/>
      <c r="P23" s="105" t="s">
        <v>115</v>
      </c>
      <c r="Q23" s="755"/>
      <c r="R23" s="755"/>
      <c r="S23" s="755"/>
      <c r="T23" s="752"/>
      <c r="U23" s="752"/>
      <c r="V23" s="752"/>
      <c r="W23" s="752"/>
      <c r="X23" s="749"/>
    </row>
    <row r="24" spans="1:24" ht="15.75" customHeight="1" thickBot="1" x14ac:dyDescent="0.4">
      <c r="A24" s="743"/>
      <c r="B24" s="743"/>
      <c r="C24" s="743"/>
      <c r="D24" s="790"/>
      <c r="E24" s="790"/>
      <c r="F24" s="792"/>
      <c r="G24" s="743"/>
      <c r="H24" s="785"/>
      <c r="I24" s="738"/>
      <c r="J24" s="738"/>
      <c r="K24" s="788"/>
      <c r="L24" s="734"/>
      <c r="M24" s="735"/>
      <c r="N24" s="741"/>
      <c r="O24" s="743"/>
      <c r="P24" s="106"/>
      <c r="Q24" s="756"/>
      <c r="R24" s="756"/>
      <c r="S24" s="756"/>
      <c r="T24" s="753"/>
      <c r="U24" s="753"/>
      <c r="V24" s="753"/>
      <c r="W24" s="753"/>
      <c r="X24" s="750"/>
    </row>
    <row r="25" spans="1:24" ht="60" x14ac:dyDescent="0.55000000000000004">
      <c r="A25" s="24" t="s">
        <v>18</v>
      </c>
      <c r="B25" s="8"/>
      <c r="C25" s="8">
        <v>0.5</v>
      </c>
      <c r="D25" s="7">
        <f>(F25-F22)/C25/60</f>
        <v>0.9</v>
      </c>
      <c r="E25" s="7">
        <f>E22+B25+D25</f>
        <v>138.80000000000001</v>
      </c>
      <c r="F25" s="85">
        <v>1000</v>
      </c>
      <c r="G25" s="22"/>
      <c r="H25" s="3"/>
      <c r="I25" s="21"/>
      <c r="J25" s="21"/>
      <c r="K25" s="21"/>
      <c r="L25" s="21"/>
      <c r="M25" s="22"/>
      <c r="N25" s="22"/>
      <c r="O25" s="22"/>
      <c r="P25" s="764" t="s">
        <v>13</v>
      </c>
      <c r="Q25" s="764"/>
      <c r="R25" s="764"/>
      <c r="S25" s="764" t="s">
        <v>53</v>
      </c>
      <c r="T25" s="764"/>
      <c r="X25">
        <f>-O6-O9+O12-O13+O18-O19+O22</f>
        <v>1934.1</v>
      </c>
    </row>
    <row r="26" spans="1:24" ht="46" x14ac:dyDescent="0.35">
      <c r="A26" s="26" t="s">
        <v>10</v>
      </c>
      <c r="B26" s="5">
        <f>SUM(B6:B24)</f>
        <v>120</v>
      </c>
      <c r="C26" s="5"/>
      <c r="D26" s="6">
        <f>SUM(D6:D25)</f>
        <v>33.799999999999997</v>
      </c>
      <c r="E26" s="6"/>
      <c r="F26" s="27"/>
      <c r="M26" s="4"/>
      <c r="N26" s="82" t="s">
        <v>95</v>
      </c>
      <c r="O26" s="30">
        <v>44211</v>
      </c>
      <c r="P26" s="803">
        <v>8.3333333333333329E-2</v>
      </c>
      <c r="Q26" s="804"/>
      <c r="R26" s="804"/>
      <c r="S26" s="803">
        <v>0.91666666666666663</v>
      </c>
      <c r="T26" s="804"/>
    </row>
    <row r="27" spans="1:24" ht="46" x14ac:dyDescent="0.35">
      <c r="A27" s="26" t="s">
        <v>12</v>
      </c>
      <c r="B27" s="5">
        <f>B26/60</f>
        <v>2</v>
      </c>
      <c r="C27" s="5"/>
      <c r="D27" s="6"/>
      <c r="E27" s="6"/>
      <c r="F27" s="27"/>
      <c r="M27" s="4"/>
      <c r="N27" s="59" t="s">
        <v>45</v>
      </c>
      <c r="O27" s="30">
        <v>44211</v>
      </c>
      <c r="P27" s="765">
        <v>0.1875</v>
      </c>
      <c r="Q27" s="765"/>
      <c r="R27" s="765"/>
      <c r="S27" s="765">
        <v>2.0833333333333332E-2</v>
      </c>
      <c r="T27" s="767"/>
    </row>
    <row r="28" spans="1:24" ht="41.25" customHeight="1" x14ac:dyDescent="0.35">
      <c r="A28" s="1"/>
      <c r="B28" s="1"/>
      <c r="C28" s="1"/>
      <c r="D28" s="1"/>
      <c r="E28" s="1"/>
      <c r="F28" s="1"/>
      <c r="G28" s="1"/>
      <c r="M28" s="4"/>
      <c r="N28" s="59" t="s">
        <v>46</v>
      </c>
      <c r="O28" s="30">
        <v>44211</v>
      </c>
      <c r="P28" s="762">
        <v>0.22916666666666666</v>
      </c>
      <c r="Q28" s="766"/>
      <c r="R28" s="763"/>
      <c r="S28" s="762">
        <v>6.25E-2</v>
      </c>
      <c r="T28" s="763"/>
    </row>
    <row r="29" spans="1:24" ht="41.25" customHeight="1" x14ac:dyDescent="0.35">
      <c r="A29" s="805" t="s">
        <v>52</v>
      </c>
      <c r="B29" s="805"/>
      <c r="C29" s="805"/>
      <c r="D29" s="805"/>
      <c r="E29" s="805"/>
      <c r="F29" s="805"/>
      <c r="M29" s="4"/>
      <c r="N29" s="59" t="s">
        <v>47</v>
      </c>
      <c r="O29" s="30">
        <v>44211</v>
      </c>
      <c r="P29" s="762">
        <v>0.27083333333333331</v>
      </c>
      <c r="Q29" s="766"/>
      <c r="R29" s="763"/>
      <c r="S29" s="762">
        <v>0.10416666666666667</v>
      </c>
      <c r="T29" s="763"/>
    </row>
    <row r="30" spans="1:24" ht="20" x14ac:dyDescent="0.4">
      <c r="A30" s="17" t="s">
        <v>51</v>
      </c>
      <c r="B30" s="17"/>
      <c r="C30" s="17"/>
      <c r="F30" s="22">
        <v>8</v>
      </c>
      <c r="G30" s="20" t="s">
        <v>11</v>
      </c>
      <c r="M30" s="2"/>
      <c r="N30" s="17"/>
      <c r="O30" s="19"/>
      <c r="P30" s="20"/>
      <c r="Q30" s="17"/>
    </row>
    <row r="31" spans="1:24" ht="60" customHeight="1" x14ac:dyDescent="0.4">
      <c r="F31" s="17"/>
      <c r="G31" s="17"/>
      <c r="M31" s="2"/>
      <c r="N31" s="17"/>
      <c r="O31" s="15"/>
      <c r="P31" s="1"/>
      <c r="Q31" s="1"/>
    </row>
    <row r="32" spans="1:24" ht="62.25" customHeight="1" x14ac:dyDescent="0.4">
      <c r="F32" s="17"/>
      <c r="G32" s="17"/>
      <c r="H32" s="17"/>
      <c r="I32" s="15"/>
      <c r="J32" s="1"/>
      <c r="K32" s="1"/>
      <c r="L32" s="1"/>
      <c r="M32" s="2"/>
      <c r="N32" s="10" t="s">
        <v>50</v>
      </c>
      <c r="O32" s="31">
        <f>E25</f>
        <v>138.80000000000001</v>
      </c>
      <c r="Q32" s="1"/>
    </row>
    <row r="33" spans="1:15" ht="60" x14ac:dyDescent="0.4">
      <c r="A33" s="19"/>
      <c r="B33" s="20"/>
      <c r="C33" s="17"/>
      <c r="I33" s="9"/>
      <c r="J33" s="1"/>
      <c r="K33" s="1"/>
      <c r="L33" s="1"/>
      <c r="M33" s="2"/>
      <c r="N33" s="10" t="s">
        <v>49</v>
      </c>
      <c r="O33" s="31">
        <f>D26+5*7</f>
        <v>68.8</v>
      </c>
    </row>
    <row r="34" spans="1:15" ht="20" x14ac:dyDescent="0.4">
      <c r="C34" s="17"/>
      <c r="D34" s="17"/>
      <c r="E34" s="17" t="s">
        <v>14</v>
      </c>
      <c r="F34" s="17"/>
      <c r="I34" s="15"/>
      <c r="J34" s="1"/>
      <c r="K34" s="1"/>
      <c r="L34" s="1"/>
      <c r="M34" s="2"/>
    </row>
    <row r="35" spans="1:15" ht="20" x14ac:dyDescent="0.4">
      <c r="A35" s="19"/>
      <c r="B35" s="20"/>
      <c r="C35" s="17"/>
      <c r="D35" s="17"/>
      <c r="E35" s="23"/>
      <c r="F35" s="17"/>
      <c r="G35" s="17"/>
      <c r="H35" s="17"/>
      <c r="I35" s="15"/>
      <c r="J35" s="1"/>
      <c r="K35" s="1"/>
      <c r="L35" s="1"/>
      <c r="M35" s="2"/>
      <c r="N35" s="2"/>
      <c r="O35" s="2"/>
    </row>
    <row r="36" spans="1:15" ht="20" x14ac:dyDescent="0.4">
      <c r="A36" s="19"/>
      <c r="B36" s="20"/>
      <c r="C36" s="17"/>
      <c r="D36" s="17"/>
      <c r="E36" s="17"/>
      <c r="F36" s="17"/>
      <c r="G36" s="17"/>
      <c r="H36" s="17"/>
      <c r="I36" s="15"/>
      <c r="J36" s="1"/>
      <c r="K36" s="1"/>
      <c r="L36" s="1"/>
      <c r="M36" s="2"/>
    </row>
    <row r="37" spans="1:15" ht="18.5" x14ac:dyDescent="0.45">
      <c r="A37" s="16"/>
      <c r="B37" s="16"/>
      <c r="C37" s="16"/>
      <c r="D37" s="16"/>
      <c r="E37" s="16"/>
      <c r="F37" s="16"/>
      <c r="G37" s="16"/>
      <c r="H37" s="16"/>
      <c r="I37" s="16"/>
    </row>
  </sheetData>
  <mergeCells count="123">
    <mergeCell ref="S29:T29"/>
    <mergeCell ref="P29:R29"/>
    <mergeCell ref="P26:R26"/>
    <mergeCell ref="S26:T26"/>
    <mergeCell ref="A29:F29"/>
    <mergeCell ref="A6:A8"/>
    <mergeCell ref="A10:A12"/>
    <mergeCell ref="A13:A15"/>
    <mergeCell ref="A16:A18"/>
    <mergeCell ref="A19:A21"/>
    <mergeCell ref="A22:A24"/>
    <mergeCell ref="K22:K24"/>
    <mergeCell ref="B16:B18"/>
    <mergeCell ref="C16:C18"/>
    <mergeCell ref="D16:D18"/>
    <mergeCell ref="E16:E18"/>
    <mergeCell ref="F16:F18"/>
    <mergeCell ref="G16:G18"/>
    <mergeCell ref="H16:H18"/>
    <mergeCell ref="H22:H24"/>
    <mergeCell ref="H19:H21"/>
    <mergeCell ref="I16:I18"/>
    <mergeCell ref="B13:B15"/>
    <mergeCell ref="C13:C15"/>
    <mergeCell ref="E13:E15"/>
    <mergeCell ref="F13:F15"/>
    <mergeCell ref="G13:G15"/>
    <mergeCell ref="B22:B24"/>
    <mergeCell ref="C22:C24"/>
    <mergeCell ref="D22:D24"/>
    <mergeCell ref="E22:E24"/>
    <mergeCell ref="F22:F24"/>
    <mergeCell ref="G22:G24"/>
    <mergeCell ref="F19:F21"/>
    <mergeCell ref="G19:G21"/>
    <mergeCell ref="B19:B21"/>
    <mergeCell ref="C19:C21"/>
    <mergeCell ref="D19:D21"/>
    <mergeCell ref="E19:E21"/>
    <mergeCell ref="N19:N21"/>
    <mergeCell ref="O19:O21"/>
    <mergeCell ref="I19:I21"/>
    <mergeCell ref="J19:J21"/>
    <mergeCell ref="I13:I15"/>
    <mergeCell ref="J13:J15"/>
    <mergeCell ref="N13:N15"/>
    <mergeCell ref="O13:O15"/>
    <mergeCell ref="K13:K15"/>
    <mergeCell ref="K19:K21"/>
    <mergeCell ref="L19:M21"/>
    <mergeCell ref="H13:H15"/>
    <mergeCell ref="N6:N8"/>
    <mergeCell ref="O6:O8"/>
    <mergeCell ref="B10:B12"/>
    <mergeCell ref="C10:C12"/>
    <mergeCell ref="D10:D12"/>
    <mergeCell ref="I10:I12"/>
    <mergeCell ref="E10:E12"/>
    <mergeCell ref="F10:F12"/>
    <mergeCell ref="G10:G12"/>
    <mergeCell ref="H10:H12"/>
    <mergeCell ref="G6:G8"/>
    <mergeCell ref="H6:H8"/>
    <mergeCell ref="I6:I8"/>
    <mergeCell ref="J6:J8"/>
    <mergeCell ref="B6:B8"/>
    <mergeCell ref="C6:C8"/>
    <mergeCell ref="D6:D8"/>
    <mergeCell ref="E6:E8"/>
    <mergeCell ref="F6:F8"/>
    <mergeCell ref="K6:K8"/>
    <mergeCell ref="L13:M15"/>
    <mergeCell ref="J10:J12"/>
    <mergeCell ref="D13:D15"/>
    <mergeCell ref="Q6:Q8"/>
    <mergeCell ref="R6:R8"/>
    <mergeCell ref="S6:S8"/>
    <mergeCell ref="T6:T8"/>
    <mergeCell ref="U6:U8"/>
    <mergeCell ref="V6:V8"/>
    <mergeCell ref="L5:M5"/>
    <mergeCell ref="L6:M8"/>
    <mergeCell ref="Q4:S4"/>
    <mergeCell ref="T4:W4"/>
    <mergeCell ref="S28:T28"/>
    <mergeCell ref="P25:R25"/>
    <mergeCell ref="S25:T25"/>
    <mergeCell ref="P27:R27"/>
    <mergeCell ref="P28:R28"/>
    <mergeCell ref="S13:S15"/>
    <mergeCell ref="T13:T15"/>
    <mergeCell ref="U13:U15"/>
    <mergeCell ref="R19:R21"/>
    <mergeCell ref="S19:S21"/>
    <mergeCell ref="T19:T21"/>
    <mergeCell ref="U19:U21"/>
    <mergeCell ref="Q13:Q15"/>
    <mergeCell ref="R13:R15"/>
    <mergeCell ref="S27:T27"/>
    <mergeCell ref="L22:M24"/>
    <mergeCell ref="I22:I24"/>
    <mergeCell ref="J22:J24"/>
    <mergeCell ref="N22:N24"/>
    <mergeCell ref="O22:O24"/>
    <mergeCell ref="X6:X8"/>
    <mergeCell ref="X13:X15"/>
    <mergeCell ref="X19:X21"/>
    <mergeCell ref="X22:X24"/>
    <mergeCell ref="W19:W21"/>
    <mergeCell ref="Q22:Q24"/>
    <mergeCell ref="R22:R24"/>
    <mergeCell ref="S22:S24"/>
    <mergeCell ref="T22:T24"/>
    <mergeCell ref="U22:U24"/>
    <mergeCell ref="V22:V24"/>
    <mergeCell ref="W22:W24"/>
    <mergeCell ref="Q19:Q21"/>
    <mergeCell ref="W13:W15"/>
    <mergeCell ref="V19:V21"/>
    <mergeCell ref="V13:V15"/>
    <mergeCell ref="W6:W8"/>
    <mergeCell ref="L9:M9"/>
    <mergeCell ref="J16:J18"/>
  </mergeCells>
  <pageMargins left="0.25" right="0.25" top="0.75" bottom="0.75" header="0.3" footer="0.3"/>
  <pageSetup paperSize="9" scale="43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zoomScale="29" zoomScaleNormal="29" workbookViewId="0">
      <selection activeCell="W17" sqref="W17"/>
    </sheetView>
  </sheetViews>
  <sheetFormatPr defaultColWidth="11.453125" defaultRowHeight="14.5" x14ac:dyDescent="0.35"/>
  <cols>
    <col min="1" max="1" width="12.08984375" customWidth="1"/>
    <col min="2" max="2" width="13" customWidth="1"/>
    <col min="3" max="3" width="15.453125" customWidth="1"/>
    <col min="4" max="5" width="14.453125" customWidth="1"/>
    <col min="6" max="6" width="19.90625" customWidth="1"/>
    <col min="7" max="7" width="13.453125" customWidth="1"/>
    <col min="8" max="8" width="13.90625" customWidth="1"/>
    <col min="9" max="9" width="30.453125" customWidth="1"/>
    <col min="10" max="10" width="21.08984375" customWidth="1"/>
    <col min="11" max="11" width="20.90625" customWidth="1"/>
    <col min="12" max="12" width="11.453125" customWidth="1"/>
    <col min="13" max="14" width="10" customWidth="1"/>
    <col min="15" max="15" width="16.08984375" customWidth="1"/>
    <col min="16" max="16" width="15.90625" customWidth="1"/>
    <col min="17" max="17" width="11.90625" customWidth="1"/>
    <col min="18" max="18" width="6.453125" customWidth="1"/>
    <col min="19" max="19" width="10.453125" bestFit="1" customWidth="1"/>
    <col min="20" max="20" width="10.453125" customWidth="1"/>
    <col min="21" max="21" width="12.08984375" bestFit="1" customWidth="1"/>
    <col min="22" max="22" width="6.453125" customWidth="1"/>
    <col min="23" max="23" width="12.453125" bestFit="1" customWidth="1"/>
    <col min="24" max="24" width="8.453125" customWidth="1"/>
    <col min="25" max="25" width="66.453125" customWidth="1"/>
    <col min="26" max="26" width="10.453125" customWidth="1"/>
    <col min="27" max="27" width="10.453125" bestFit="1" customWidth="1"/>
    <col min="28" max="28" width="34.453125" customWidth="1"/>
  </cols>
  <sheetData>
    <row r="1" spans="1:28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8" ht="41.25" customHeight="1" x14ac:dyDescent="0.65">
      <c r="A2" s="84" t="s">
        <v>36</v>
      </c>
      <c r="B2" s="83"/>
      <c r="C2" s="98" t="s">
        <v>327</v>
      </c>
      <c r="D2" s="83"/>
      <c r="H2" s="91" t="s">
        <v>96</v>
      </c>
      <c r="I2" s="423"/>
      <c r="J2" s="89" t="s">
        <v>99</v>
      </c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8" ht="30" x14ac:dyDescent="0.6">
      <c r="A3" s="119" t="s">
        <v>136</v>
      </c>
      <c r="B3" s="120"/>
      <c r="C3" s="121">
        <v>2139</v>
      </c>
      <c r="D3" s="122" t="s">
        <v>11</v>
      </c>
      <c r="E3" s="1"/>
      <c r="F3" s="1"/>
      <c r="G3" s="1"/>
      <c r="H3" s="92" t="s">
        <v>97</v>
      </c>
      <c r="I3" s="423"/>
      <c r="J3" s="89" t="s">
        <v>100</v>
      </c>
      <c r="K3" s="1"/>
      <c r="L3" s="1"/>
      <c r="M3" s="831" t="s">
        <v>43</v>
      </c>
      <c r="N3" s="832"/>
      <c r="O3" s="832"/>
      <c r="P3" s="833"/>
      <c r="Q3" s="583"/>
      <c r="R3" s="583"/>
      <c r="S3" s="583"/>
      <c r="T3" s="583"/>
      <c r="U3" s="583"/>
      <c r="V3" s="583"/>
      <c r="W3" s="583"/>
      <c r="X3" s="583"/>
    </row>
    <row r="4" spans="1:28" ht="20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3" t="s">
        <v>48</v>
      </c>
    </row>
    <row r="5" spans="1:28" ht="62.5" x14ac:dyDescent="0.35">
      <c r="A5" s="11" t="s">
        <v>98</v>
      </c>
      <c r="B5" s="11" t="s">
        <v>0</v>
      </c>
      <c r="C5" s="11" t="s">
        <v>17</v>
      </c>
      <c r="D5" s="11" t="s">
        <v>1</v>
      </c>
      <c r="E5" s="11" t="s">
        <v>2</v>
      </c>
      <c r="F5" s="189" t="s">
        <v>3</v>
      </c>
      <c r="G5" s="189" t="s">
        <v>4</v>
      </c>
      <c r="H5" s="189" t="s">
        <v>5</v>
      </c>
      <c r="I5" s="190" t="s">
        <v>16</v>
      </c>
      <c r="J5" s="582" t="s">
        <v>15</v>
      </c>
      <c r="K5" s="582" t="s">
        <v>66</v>
      </c>
      <c r="L5" s="818" t="s">
        <v>143</v>
      </c>
      <c r="M5" s="819"/>
      <c r="N5" s="818" t="s">
        <v>144</v>
      </c>
      <c r="O5" s="819"/>
      <c r="P5" s="818" t="s">
        <v>8</v>
      </c>
      <c r="Q5" s="819"/>
      <c r="R5" s="28" t="s">
        <v>41</v>
      </c>
      <c r="S5" s="28" t="s">
        <v>40</v>
      </c>
      <c r="T5" s="28" t="s">
        <v>184</v>
      </c>
      <c r="U5" s="28" t="s">
        <v>39</v>
      </c>
      <c r="V5" s="28" t="s">
        <v>178</v>
      </c>
      <c r="W5" s="28" t="s">
        <v>148</v>
      </c>
      <c r="X5" s="28" t="s">
        <v>42</v>
      </c>
      <c r="Y5" s="53"/>
    </row>
    <row r="6" spans="1:28" ht="46.5" customHeight="1" thickBot="1" x14ac:dyDescent="0.4">
      <c r="A6" s="574">
        <v>1</v>
      </c>
      <c r="B6" s="574">
        <v>5</v>
      </c>
      <c r="C6" s="574">
        <v>0.8</v>
      </c>
      <c r="D6" s="578">
        <f>ABS(F6/C6/60)</f>
        <v>0.14583333333333334</v>
      </c>
      <c r="E6" s="578">
        <f>D6+B6</f>
        <v>5.145833333333333</v>
      </c>
      <c r="F6" s="579">
        <v>-7</v>
      </c>
      <c r="G6" s="586">
        <v>2090</v>
      </c>
      <c r="H6" s="588" t="s">
        <v>244</v>
      </c>
      <c r="I6" s="580" t="s">
        <v>72</v>
      </c>
      <c r="J6" s="574" t="s">
        <v>132</v>
      </c>
      <c r="K6" s="574" t="s">
        <v>64</v>
      </c>
      <c r="L6" s="734">
        <v>101.825</v>
      </c>
      <c r="M6" s="735"/>
      <c r="N6" s="810">
        <v>102.495</v>
      </c>
      <c r="O6" s="811"/>
      <c r="P6" s="810">
        <f t="shared" ref="P6:P22" si="0">(N6-L6)*1000</f>
        <v>670.00000000000171</v>
      </c>
      <c r="Q6" s="811"/>
      <c r="R6" s="574"/>
      <c r="S6" s="574"/>
      <c r="T6" s="574"/>
      <c r="U6" s="141" t="s">
        <v>54</v>
      </c>
      <c r="V6" s="141" t="s">
        <v>54</v>
      </c>
      <c r="W6" s="141"/>
      <c r="X6" s="141"/>
      <c r="Y6" s="143" t="s">
        <v>347</v>
      </c>
      <c r="AB6">
        <f>SUM(P6:Q16,P19,P22)</f>
        <v>8702.3999999999796</v>
      </c>
    </row>
    <row r="7" spans="1:28" ht="46.5" customHeight="1" thickBot="1" x14ac:dyDescent="0.4">
      <c r="A7" s="574">
        <v>2</v>
      </c>
      <c r="B7" s="574">
        <v>5</v>
      </c>
      <c r="C7" s="580">
        <v>0.8</v>
      </c>
      <c r="D7" s="578">
        <f>(F7-F6)/C7/60</f>
        <v>6.041666666666667</v>
      </c>
      <c r="E7" s="578">
        <f t="shared" ref="E7:E13" si="1">E6+B7+D7</f>
        <v>16.1875</v>
      </c>
      <c r="F7" s="144">
        <f>G$6-G7-$F$28+1</f>
        <v>283</v>
      </c>
      <c r="G7" s="574">
        <v>1800</v>
      </c>
      <c r="H7" s="419"/>
      <c r="I7" s="580" t="s">
        <v>186</v>
      </c>
      <c r="J7" s="580" t="s">
        <v>130</v>
      </c>
      <c r="K7" s="574" t="s">
        <v>64</v>
      </c>
      <c r="L7" s="734">
        <v>14.614000000000001</v>
      </c>
      <c r="M7" s="735"/>
      <c r="N7" s="816">
        <v>15.702</v>
      </c>
      <c r="O7" s="817"/>
      <c r="P7" s="810">
        <f t="shared" si="0"/>
        <v>1087.9999999999991</v>
      </c>
      <c r="Q7" s="811"/>
      <c r="R7" s="574"/>
      <c r="S7" s="574"/>
      <c r="T7" s="574"/>
      <c r="U7" s="141" t="s">
        <v>54</v>
      </c>
      <c r="V7" s="141" t="s">
        <v>54</v>
      </c>
      <c r="W7" s="141"/>
      <c r="X7" s="141"/>
      <c r="Y7" s="54" t="s">
        <v>345</v>
      </c>
    </row>
    <row r="8" spans="1:28" ht="46.5" customHeight="1" thickBot="1" x14ac:dyDescent="0.4">
      <c r="A8" s="574">
        <v>3</v>
      </c>
      <c r="B8" s="574">
        <v>5</v>
      </c>
      <c r="C8" s="580">
        <v>0.8</v>
      </c>
      <c r="D8" s="578">
        <f>(F8-F7)/C8/60</f>
        <v>11.458333333333334</v>
      </c>
      <c r="E8" s="578">
        <f t="shared" si="1"/>
        <v>32.645833333333336</v>
      </c>
      <c r="F8" s="144">
        <f>G$7-G8+F7</f>
        <v>833</v>
      </c>
      <c r="G8" s="574">
        <v>1250</v>
      </c>
      <c r="H8" s="588"/>
      <c r="I8" s="580" t="s">
        <v>60</v>
      </c>
      <c r="J8" s="574" t="s">
        <v>129</v>
      </c>
      <c r="K8" s="574" t="s">
        <v>64</v>
      </c>
      <c r="L8" s="734">
        <v>55.594000000000001</v>
      </c>
      <c r="M8" s="735"/>
      <c r="N8" s="816">
        <v>56.435000000000002</v>
      </c>
      <c r="O8" s="817"/>
      <c r="P8" s="810">
        <f t="shared" si="0"/>
        <v>841.00000000000114</v>
      </c>
      <c r="Q8" s="811"/>
      <c r="R8" s="574"/>
      <c r="S8" s="574"/>
      <c r="T8" s="574"/>
      <c r="U8" s="141" t="s">
        <v>54</v>
      </c>
      <c r="V8" s="141" t="s">
        <v>54</v>
      </c>
      <c r="W8" s="141"/>
      <c r="X8" s="141"/>
      <c r="Y8" s="54" t="s">
        <v>346</v>
      </c>
    </row>
    <row r="9" spans="1:28" ht="46.5" customHeight="1" thickBot="1" x14ac:dyDescent="0.4">
      <c r="A9" s="574">
        <v>4</v>
      </c>
      <c r="B9" s="574">
        <v>5</v>
      </c>
      <c r="C9" s="574">
        <v>0.8</v>
      </c>
      <c r="D9" s="578">
        <f>(F9-F8)/C9/60</f>
        <v>8.9583333333333339</v>
      </c>
      <c r="E9" s="578">
        <f t="shared" si="1"/>
        <v>46.604166666666671</v>
      </c>
      <c r="F9" s="144">
        <f t="shared" ref="F9:F17" si="2">G8-G9+F8</f>
        <v>1263</v>
      </c>
      <c r="G9" s="574">
        <v>820</v>
      </c>
      <c r="H9" s="609" t="s">
        <v>323</v>
      </c>
      <c r="I9" s="608" t="s">
        <v>58</v>
      </c>
      <c r="J9" s="580" t="s">
        <v>149</v>
      </c>
      <c r="K9" s="574" t="s">
        <v>64</v>
      </c>
      <c r="L9" s="734">
        <v>17.440999999999999</v>
      </c>
      <c r="M9" s="735"/>
      <c r="N9" s="816">
        <v>17.474</v>
      </c>
      <c r="O9" s="817"/>
      <c r="P9" s="810">
        <f t="shared" si="0"/>
        <v>33.000000000001251</v>
      </c>
      <c r="Q9" s="811"/>
      <c r="R9" s="574"/>
      <c r="S9" s="574"/>
      <c r="T9" s="574"/>
      <c r="U9" s="213" t="s">
        <v>54</v>
      </c>
      <c r="V9" s="141" t="s">
        <v>54</v>
      </c>
      <c r="W9" s="141"/>
      <c r="X9" s="141"/>
      <c r="Y9" s="54" t="s">
        <v>335</v>
      </c>
    </row>
    <row r="10" spans="1:28" ht="46.5" customHeight="1" thickBot="1" x14ac:dyDescent="0.4">
      <c r="A10" s="574">
        <v>5</v>
      </c>
      <c r="B10" s="574">
        <v>5</v>
      </c>
      <c r="C10" s="574">
        <v>0.8</v>
      </c>
      <c r="D10" s="578">
        <f>(F10-F9)/C10/60</f>
        <v>0.41666666666666669</v>
      </c>
      <c r="E10" s="578">
        <f t="shared" si="1"/>
        <v>52.020833333333336</v>
      </c>
      <c r="F10" s="144">
        <f t="shared" si="2"/>
        <v>1283</v>
      </c>
      <c r="G10" s="574">
        <v>800</v>
      </c>
      <c r="H10" s="577"/>
      <c r="I10" s="580" t="s">
        <v>71</v>
      </c>
      <c r="J10" s="574" t="s">
        <v>131</v>
      </c>
      <c r="K10" s="574" t="s">
        <v>240</v>
      </c>
      <c r="L10" s="734">
        <v>77.878</v>
      </c>
      <c r="M10" s="735"/>
      <c r="N10" s="816">
        <v>79.120999999999995</v>
      </c>
      <c r="O10" s="817"/>
      <c r="P10" s="810">
        <f t="shared" si="0"/>
        <v>1242.999999999995</v>
      </c>
      <c r="Q10" s="811"/>
      <c r="R10" s="141" t="s">
        <v>54</v>
      </c>
      <c r="S10" s="141" t="s">
        <v>54</v>
      </c>
      <c r="T10" s="141"/>
      <c r="U10" s="339"/>
      <c r="V10" s="574"/>
      <c r="W10" s="574"/>
      <c r="X10" s="574"/>
      <c r="Y10" s="417"/>
    </row>
    <row r="11" spans="1:28" ht="46.5" customHeight="1" thickBot="1" x14ac:dyDescent="0.4">
      <c r="A11" s="574">
        <v>6</v>
      </c>
      <c r="B11" s="574">
        <v>5</v>
      </c>
      <c r="C11" s="574">
        <v>0.8</v>
      </c>
      <c r="D11" s="578">
        <f t="shared" ref="D11:D17" si="3">(F11-F10)/C11/60</f>
        <v>4.166666666666667</v>
      </c>
      <c r="E11" s="578">
        <f t="shared" si="1"/>
        <v>61.1875</v>
      </c>
      <c r="F11" s="144">
        <f t="shared" si="2"/>
        <v>1483</v>
      </c>
      <c r="G11" s="574">
        <v>600</v>
      </c>
      <c r="H11" s="577"/>
      <c r="I11" s="580" t="s">
        <v>59</v>
      </c>
      <c r="J11" s="574" t="s">
        <v>128</v>
      </c>
      <c r="K11" s="574" t="s">
        <v>64</v>
      </c>
      <c r="L11" s="734">
        <v>38.529000000000003</v>
      </c>
      <c r="M11" s="735"/>
      <c r="N11" s="816">
        <v>39.366</v>
      </c>
      <c r="O11" s="817"/>
      <c r="P11" s="810">
        <f t="shared" si="0"/>
        <v>836.99999999999613</v>
      </c>
      <c r="Q11" s="811"/>
      <c r="R11" s="574"/>
      <c r="S11" s="574"/>
      <c r="T11" s="574"/>
      <c r="U11" s="141" t="s">
        <v>54</v>
      </c>
      <c r="V11" s="141" t="s">
        <v>54</v>
      </c>
      <c r="W11" s="141"/>
      <c r="X11" s="141"/>
      <c r="Y11" s="417" t="s">
        <v>266</v>
      </c>
    </row>
    <row r="12" spans="1:28" ht="46.5" customHeight="1" thickBot="1" x14ac:dyDescent="0.4">
      <c r="A12" s="574">
        <v>7</v>
      </c>
      <c r="B12" s="574">
        <v>5</v>
      </c>
      <c r="C12" s="574">
        <v>0.8</v>
      </c>
      <c r="D12" s="578">
        <f t="shared" si="3"/>
        <v>4.166666666666667</v>
      </c>
      <c r="E12" s="578">
        <f t="shared" si="1"/>
        <v>70.354166666666671</v>
      </c>
      <c r="F12" s="144">
        <f t="shared" si="2"/>
        <v>1683</v>
      </c>
      <c r="G12" s="574">
        <v>400</v>
      </c>
      <c r="H12" s="577"/>
      <c r="I12" s="580" t="s">
        <v>57</v>
      </c>
      <c r="J12" s="574" t="s">
        <v>126</v>
      </c>
      <c r="K12" s="574" t="s">
        <v>240</v>
      </c>
      <c r="L12" s="734">
        <v>33.744999999999997</v>
      </c>
      <c r="M12" s="735"/>
      <c r="N12" s="816">
        <v>34.731999999999999</v>
      </c>
      <c r="O12" s="817"/>
      <c r="P12" s="810">
        <f t="shared" si="0"/>
        <v>987.00000000000182</v>
      </c>
      <c r="Q12" s="811"/>
      <c r="R12" s="141" t="s">
        <v>54</v>
      </c>
      <c r="S12" s="141" t="s">
        <v>54</v>
      </c>
      <c r="T12" s="141"/>
      <c r="U12" s="574"/>
      <c r="V12" s="574"/>
      <c r="W12" s="574"/>
      <c r="X12" s="574"/>
      <c r="Y12" s="54"/>
    </row>
    <row r="13" spans="1:28" ht="46.5" customHeight="1" thickBot="1" x14ac:dyDescent="0.4">
      <c r="A13" s="574">
        <v>8</v>
      </c>
      <c r="B13" s="574">
        <v>5</v>
      </c>
      <c r="C13" s="574">
        <v>0.8</v>
      </c>
      <c r="D13" s="578">
        <f t="shared" si="3"/>
        <v>3.75</v>
      </c>
      <c r="E13" s="578">
        <f t="shared" si="1"/>
        <v>79.104166666666671</v>
      </c>
      <c r="F13" s="144">
        <f t="shared" si="2"/>
        <v>1863</v>
      </c>
      <c r="G13" s="574">
        <v>220</v>
      </c>
      <c r="H13" s="577"/>
      <c r="I13" s="580" t="s">
        <v>69</v>
      </c>
      <c r="J13" s="574" t="s">
        <v>135</v>
      </c>
      <c r="K13" s="574" t="s">
        <v>64</v>
      </c>
      <c r="L13" s="734">
        <v>9.9323999999999995</v>
      </c>
      <c r="M13" s="735"/>
      <c r="N13" s="816">
        <v>10.180999999999999</v>
      </c>
      <c r="O13" s="817"/>
      <c r="P13" s="810">
        <f t="shared" si="0"/>
        <v>248.59999999999971</v>
      </c>
      <c r="Q13" s="811"/>
      <c r="R13" s="141"/>
      <c r="S13" s="141"/>
      <c r="T13" s="141"/>
      <c r="U13" s="141" t="s">
        <v>54</v>
      </c>
      <c r="V13" s="141" t="s">
        <v>54</v>
      </c>
      <c r="W13" s="213" t="s">
        <v>54</v>
      </c>
      <c r="X13" s="141"/>
      <c r="Y13" s="143" t="s">
        <v>328</v>
      </c>
    </row>
    <row r="14" spans="1:28" ht="46.5" customHeight="1" thickBot="1" x14ac:dyDescent="0.4">
      <c r="A14" s="574">
        <v>9</v>
      </c>
      <c r="B14" s="574">
        <v>5</v>
      </c>
      <c r="C14" s="574">
        <v>0.8</v>
      </c>
      <c r="D14" s="578">
        <f t="shared" si="3"/>
        <v>0.41666666666666669</v>
      </c>
      <c r="E14" s="578">
        <f>E13+B14+D14</f>
        <v>84.520833333333343</v>
      </c>
      <c r="F14" s="144">
        <f t="shared" si="2"/>
        <v>1883</v>
      </c>
      <c r="G14" s="574">
        <v>200</v>
      </c>
      <c r="H14" s="577"/>
      <c r="I14" s="580" t="s">
        <v>187</v>
      </c>
      <c r="J14" s="574" t="s">
        <v>134</v>
      </c>
      <c r="K14" s="574" t="s">
        <v>240</v>
      </c>
      <c r="L14" s="734">
        <v>83.588999999999999</v>
      </c>
      <c r="M14" s="735"/>
      <c r="N14" s="816">
        <v>84.641999999999996</v>
      </c>
      <c r="O14" s="817"/>
      <c r="P14" s="810">
        <f t="shared" si="0"/>
        <v>1052.9999999999973</v>
      </c>
      <c r="Q14" s="811"/>
      <c r="R14" s="141" t="s">
        <v>54</v>
      </c>
      <c r="S14" s="141" t="s">
        <v>54</v>
      </c>
      <c r="T14" s="141"/>
      <c r="U14" s="574"/>
      <c r="V14" s="574"/>
      <c r="W14" s="574"/>
      <c r="X14" s="574"/>
      <c r="Y14" s="417" t="s">
        <v>336</v>
      </c>
    </row>
    <row r="15" spans="1:28" ht="46.5" customHeight="1" thickBot="1" x14ac:dyDescent="0.4">
      <c r="A15" s="574">
        <v>10</v>
      </c>
      <c r="B15" s="574">
        <v>5</v>
      </c>
      <c r="C15" s="574">
        <v>0.8</v>
      </c>
      <c r="D15" s="578">
        <f t="shared" si="3"/>
        <v>1.0416666666666667</v>
      </c>
      <c r="E15" s="578">
        <f>E14+B15+D15</f>
        <v>90.562500000000014</v>
      </c>
      <c r="F15" s="144">
        <f t="shared" si="2"/>
        <v>1933</v>
      </c>
      <c r="G15" s="574">
        <v>150</v>
      </c>
      <c r="H15" s="577"/>
      <c r="I15" s="580" t="s">
        <v>61</v>
      </c>
      <c r="J15" s="574" t="s">
        <v>127</v>
      </c>
      <c r="K15" s="574" t="s">
        <v>240</v>
      </c>
      <c r="L15" s="734">
        <v>54.841000000000001</v>
      </c>
      <c r="M15" s="735"/>
      <c r="N15" s="816">
        <v>55.58</v>
      </c>
      <c r="O15" s="817"/>
      <c r="P15" s="810">
        <f t="shared" si="0"/>
        <v>738.99999999999727</v>
      </c>
      <c r="Q15" s="811"/>
      <c r="R15" s="141" t="s">
        <v>54</v>
      </c>
      <c r="S15" s="141" t="s">
        <v>54</v>
      </c>
      <c r="T15" s="141"/>
      <c r="U15" s="574"/>
      <c r="V15" s="574"/>
      <c r="W15" s="574"/>
      <c r="X15" s="574"/>
      <c r="Y15" s="54"/>
    </row>
    <row r="16" spans="1:28" ht="46.5" customHeight="1" thickBot="1" x14ac:dyDescent="0.4">
      <c r="A16" s="574">
        <v>11</v>
      </c>
      <c r="B16" s="574">
        <v>5</v>
      </c>
      <c r="C16" s="574">
        <v>0.8</v>
      </c>
      <c r="D16" s="578">
        <f t="shared" si="3"/>
        <v>0.625</v>
      </c>
      <c r="E16" s="578">
        <f>E15+B16+D16</f>
        <v>96.187500000000014</v>
      </c>
      <c r="F16" s="144">
        <f t="shared" si="2"/>
        <v>1963</v>
      </c>
      <c r="G16" s="574">
        <v>120</v>
      </c>
      <c r="H16" s="577"/>
      <c r="I16" s="580" t="s">
        <v>67</v>
      </c>
      <c r="J16" s="587" t="s">
        <v>133</v>
      </c>
      <c r="K16" s="574" t="s">
        <v>240</v>
      </c>
      <c r="L16" s="816">
        <v>80.278000000000006</v>
      </c>
      <c r="M16" s="817"/>
      <c r="N16" s="816">
        <v>80.611999999999995</v>
      </c>
      <c r="O16" s="817"/>
      <c r="P16" s="810">
        <f t="shared" si="0"/>
        <v>333.99999999998897</v>
      </c>
      <c r="Q16" s="811"/>
      <c r="R16" s="141" t="s">
        <v>54</v>
      </c>
      <c r="S16" s="141" t="s">
        <v>54</v>
      </c>
      <c r="T16" s="141"/>
      <c r="U16" s="574"/>
      <c r="V16" s="574"/>
      <c r="W16" s="574"/>
      <c r="X16" s="574"/>
      <c r="Y16" s="416"/>
    </row>
    <row r="17" spans="1:27" ht="46.5" customHeight="1" x14ac:dyDescent="0.35">
      <c r="A17" s="806">
        <v>12</v>
      </c>
      <c r="B17" s="806">
        <v>5</v>
      </c>
      <c r="C17" s="806">
        <v>0.8</v>
      </c>
      <c r="D17" s="807">
        <f t="shared" si="3"/>
        <v>0.83333333333333337</v>
      </c>
      <c r="E17" s="807">
        <f>E16+B17+D17</f>
        <v>102.02083333333334</v>
      </c>
      <c r="F17" s="858">
        <f t="shared" si="2"/>
        <v>2003</v>
      </c>
      <c r="G17" s="806">
        <v>80</v>
      </c>
      <c r="H17" s="899"/>
      <c r="I17" s="837" t="s">
        <v>23</v>
      </c>
      <c r="J17" s="573" t="s">
        <v>150</v>
      </c>
      <c r="K17" s="573" t="s">
        <v>64</v>
      </c>
      <c r="L17" s="812">
        <v>6.1233000000000004</v>
      </c>
      <c r="M17" s="813"/>
      <c r="N17" s="812">
        <v>6.306</v>
      </c>
      <c r="O17" s="813"/>
      <c r="P17" s="888">
        <f t="shared" si="0"/>
        <v>182.69999999999965</v>
      </c>
      <c r="Q17" s="889"/>
      <c r="R17" s="573"/>
      <c r="S17" s="573"/>
      <c r="T17" s="573"/>
      <c r="U17" s="142" t="s">
        <v>54</v>
      </c>
      <c r="V17" s="142" t="s">
        <v>54</v>
      </c>
      <c r="W17" s="142" t="s">
        <v>54</v>
      </c>
      <c r="X17" s="142"/>
      <c r="Y17" s="166" t="s">
        <v>344</v>
      </c>
    </row>
    <row r="18" spans="1:27" ht="46.5" customHeight="1" x14ac:dyDescent="0.35">
      <c r="A18" s="742"/>
      <c r="B18" s="742"/>
      <c r="C18" s="742"/>
      <c r="D18" s="789"/>
      <c r="E18" s="789"/>
      <c r="F18" s="791"/>
      <c r="G18" s="742"/>
      <c r="H18" s="900"/>
      <c r="I18" s="801"/>
      <c r="J18" s="571" t="s">
        <v>151</v>
      </c>
      <c r="K18" s="571" t="s">
        <v>240</v>
      </c>
      <c r="L18" s="814">
        <v>7.8324999999999996</v>
      </c>
      <c r="M18" s="815"/>
      <c r="N18" s="814">
        <v>8.0945</v>
      </c>
      <c r="O18" s="815"/>
      <c r="P18" s="740">
        <f t="shared" si="0"/>
        <v>262.00000000000045</v>
      </c>
      <c r="Q18" s="740"/>
      <c r="R18" s="167" t="s">
        <v>54</v>
      </c>
      <c r="S18" s="167" t="s">
        <v>54</v>
      </c>
      <c r="T18" s="167"/>
      <c r="U18" s="571"/>
      <c r="V18" s="571"/>
      <c r="W18" s="571"/>
      <c r="X18" s="571"/>
      <c r="Y18" s="575"/>
    </row>
    <row r="19" spans="1:27" ht="46.5" customHeight="1" thickBot="1" x14ac:dyDescent="0.4">
      <c r="A19" s="743"/>
      <c r="B19" s="743"/>
      <c r="C19" s="743"/>
      <c r="D19" s="790"/>
      <c r="E19" s="790"/>
      <c r="F19" s="792"/>
      <c r="G19" s="743"/>
      <c r="H19" s="901"/>
      <c r="I19" s="802"/>
      <c r="J19" s="572" t="s">
        <v>179</v>
      </c>
      <c r="K19" s="572"/>
      <c r="L19" s="810">
        <v>13.8865</v>
      </c>
      <c r="M19" s="811"/>
      <c r="N19" s="810">
        <v>14.219900000000001</v>
      </c>
      <c r="O19" s="811"/>
      <c r="P19" s="734">
        <f t="shared" si="0"/>
        <v>333.400000000001</v>
      </c>
      <c r="Q19" s="735"/>
      <c r="R19" s="168"/>
      <c r="S19" s="168"/>
      <c r="T19" s="168"/>
      <c r="U19" s="572"/>
      <c r="V19" s="572"/>
      <c r="W19" s="572"/>
      <c r="X19" s="572"/>
      <c r="Y19" s="576"/>
    </row>
    <row r="20" spans="1:27" ht="46.5" customHeight="1" x14ac:dyDescent="0.35">
      <c r="A20" s="806">
        <v>13</v>
      </c>
      <c r="B20" s="806">
        <v>5</v>
      </c>
      <c r="C20" s="806">
        <v>0.8</v>
      </c>
      <c r="D20" s="807">
        <f>(F20-F17)/C20/60</f>
        <v>1.0416666666666667</v>
      </c>
      <c r="E20" s="807">
        <f>E17+B20+D20</f>
        <v>108.06250000000001</v>
      </c>
      <c r="F20" s="890">
        <f>G17-G20+F17</f>
        <v>2053</v>
      </c>
      <c r="G20" s="823">
        <v>30</v>
      </c>
      <c r="H20" s="824"/>
      <c r="I20" s="834" t="s">
        <v>27</v>
      </c>
      <c r="J20" s="581" t="s">
        <v>150</v>
      </c>
      <c r="K20" s="581" t="s">
        <v>64</v>
      </c>
      <c r="L20" s="812">
        <v>6.6022999999999996</v>
      </c>
      <c r="M20" s="813"/>
      <c r="N20" s="812">
        <v>6.7201000000000004</v>
      </c>
      <c r="O20" s="813"/>
      <c r="P20" s="888">
        <f t="shared" si="0"/>
        <v>117.80000000000079</v>
      </c>
      <c r="Q20" s="889"/>
      <c r="R20" s="581"/>
      <c r="S20" s="581"/>
      <c r="T20" s="581"/>
      <c r="U20" s="169" t="s">
        <v>54</v>
      </c>
      <c r="V20" s="169" t="s">
        <v>54</v>
      </c>
      <c r="W20" s="142" t="s">
        <v>54</v>
      </c>
      <c r="X20" s="169"/>
      <c r="Y20" s="170"/>
    </row>
    <row r="21" spans="1:27" ht="46.5" customHeight="1" x14ac:dyDescent="0.35">
      <c r="A21" s="742"/>
      <c r="B21" s="742"/>
      <c r="C21" s="742"/>
      <c r="D21" s="789"/>
      <c r="E21" s="789"/>
      <c r="F21" s="821"/>
      <c r="G21" s="740"/>
      <c r="H21" s="825"/>
      <c r="I21" s="835"/>
      <c r="J21" s="571" t="s">
        <v>151</v>
      </c>
      <c r="K21" s="571" t="s">
        <v>240</v>
      </c>
      <c r="L21" s="814">
        <v>8.9224999999999994</v>
      </c>
      <c r="M21" s="815"/>
      <c r="N21" s="814">
        <v>9.1031999999999993</v>
      </c>
      <c r="O21" s="815"/>
      <c r="P21" s="740">
        <f t="shared" si="0"/>
        <v>180.69999999999987</v>
      </c>
      <c r="Q21" s="740"/>
      <c r="R21" s="167" t="s">
        <v>54</v>
      </c>
      <c r="S21" s="167" t="s">
        <v>54</v>
      </c>
      <c r="T21" s="167"/>
      <c r="U21" s="571"/>
      <c r="V21" s="571"/>
      <c r="W21" s="571"/>
      <c r="X21" s="571"/>
      <c r="Y21" s="575" t="s">
        <v>337</v>
      </c>
    </row>
    <row r="22" spans="1:27" ht="46.5" customHeight="1" thickBot="1" x14ac:dyDescent="0.4">
      <c r="A22" s="743"/>
      <c r="B22" s="743"/>
      <c r="C22" s="743"/>
      <c r="D22" s="790"/>
      <c r="E22" s="790"/>
      <c r="F22" s="822"/>
      <c r="G22" s="741"/>
      <c r="H22" s="826"/>
      <c r="I22" s="836"/>
      <c r="J22" s="572" t="s">
        <v>179</v>
      </c>
      <c r="K22" s="572"/>
      <c r="L22" s="810">
        <v>15.2308</v>
      </c>
      <c r="M22" s="811"/>
      <c r="N22" s="810">
        <v>15.526199999999999</v>
      </c>
      <c r="O22" s="811"/>
      <c r="P22" s="734">
        <f t="shared" si="0"/>
        <v>295.39999999999901</v>
      </c>
      <c r="Q22" s="735"/>
      <c r="R22" s="168"/>
      <c r="S22" s="168"/>
      <c r="T22" s="168"/>
      <c r="U22" s="572"/>
      <c r="V22" s="572"/>
      <c r="W22" s="572"/>
      <c r="X22" s="572"/>
      <c r="Y22" s="576"/>
    </row>
    <row r="23" spans="1:27" ht="47.9" customHeight="1" thickBot="1" x14ac:dyDescent="0.6">
      <c r="A23" s="24" t="s">
        <v>10</v>
      </c>
      <c r="B23" s="570">
        <f>SUM(B6:B22)</f>
        <v>65</v>
      </c>
      <c r="C23" s="570"/>
      <c r="D23" s="585">
        <f>SUM(D6:D22)</f>
        <v>43.0625</v>
      </c>
      <c r="E23" s="585"/>
      <c r="F23" s="144">
        <f>G6</f>
        <v>2090</v>
      </c>
      <c r="G23" s="827" t="s">
        <v>18</v>
      </c>
      <c r="H23" s="828"/>
      <c r="I23" s="828"/>
      <c r="J23" s="22"/>
      <c r="K23" s="97" t="s">
        <v>103</v>
      </c>
      <c r="L23" s="838" t="s">
        <v>102</v>
      </c>
      <c r="M23" s="838"/>
      <c r="N23" s="838" t="s">
        <v>53</v>
      </c>
      <c r="O23" s="838"/>
    </row>
    <row r="24" spans="1:27" ht="48.75" customHeight="1" x14ac:dyDescent="0.35">
      <c r="A24" s="26" t="s">
        <v>12</v>
      </c>
      <c r="B24" s="571">
        <f>B23/60</f>
        <v>1.0833333333333333</v>
      </c>
      <c r="C24" s="571"/>
      <c r="D24" s="584">
        <f>D23/60</f>
        <v>0.71770833333333328</v>
      </c>
      <c r="E24" s="584"/>
      <c r="F24" s="27"/>
      <c r="J24" s="610" t="s">
        <v>145</v>
      </c>
      <c r="K24" s="30">
        <v>44246</v>
      </c>
      <c r="L24" s="829">
        <v>7.6388888888888895E-2</v>
      </c>
      <c r="M24" s="830"/>
      <c r="N24" s="803">
        <v>0.86805555555555547</v>
      </c>
      <c r="O24" s="803"/>
      <c r="AA24">
        <v>1</v>
      </c>
    </row>
    <row r="25" spans="1:27" ht="55.4" customHeight="1" x14ac:dyDescent="0.35">
      <c r="J25" s="96" t="s">
        <v>45</v>
      </c>
      <c r="K25" s="30">
        <v>44246</v>
      </c>
      <c r="L25" s="762">
        <v>0.15625</v>
      </c>
      <c r="M25" s="766"/>
      <c r="N25" s="765">
        <v>0.94791666666666663</v>
      </c>
      <c r="O25" s="765"/>
    </row>
    <row r="26" spans="1:27" ht="50.25" customHeight="1" x14ac:dyDescent="0.35">
      <c r="A26" s="1"/>
      <c r="B26" s="1"/>
      <c r="C26" s="1"/>
      <c r="D26" s="1"/>
      <c r="E26" s="1"/>
      <c r="F26" s="1"/>
      <c r="G26" s="1"/>
      <c r="J26" s="96" t="s">
        <v>46</v>
      </c>
      <c r="K26" s="30">
        <v>44246</v>
      </c>
      <c r="L26" s="762">
        <v>0.28125</v>
      </c>
      <c r="M26" s="766"/>
      <c r="N26" s="765">
        <v>7.2916666666666671E-2</v>
      </c>
      <c r="O26" s="765"/>
    </row>
    <row r="27" spans="1:27" ht="50.25" customHeight="1" x14ac:dyDescent="0.35">
      <c r="A27" s="805" t="s">
        <v>52</v>
      </c>
      <c r="B27" s="805"/>
      <c r="C27" s="805"/>
      <c r="D27" s="805"/>
      <c r="E27" s="805"/>
      <c r="F27" s="805"/>
      <c r="J27" s="96" t="s">
        <v>47</v>
      </c>
      <c r="K27" s="30">
        <v>44246</v>
      </c>
      <c r="L27" s="762">
        <v>0.34375</v>
      </c>
      <c r="M27" s="766"/>
      <c r="N27" s="765">
        <v>0.13541666666666666</v>
      </c>
      <c r="O27" s="765"/>
    </row>
    <row r="28" spans="1:27" ht="20" x14ac:dyDescent="0.4">
      <c r="A28" s="17" t="s">
        <v>51</v>
      </c>
      <c r="B28" s="17"/>
      <c r="C28" s="17"/>
      <c r="F28" s="22">
        <v>8</v>
      </c>
      <c r="G28" s="20" t="s">
        <v>11</v>
      </c>
      <c r="J28" s="17"/>
      <c r="K28" s="19"/>
    </row>
    <row r="29" spans="1:27" ht="60" customHeight="1" x14ac:dyDescent="0.4">
      <c r="F29" s="17"/>
      <c r="G29" s="17"/>
      <c r="J29" s="10" t="s">
        <v>50</v>
      </c>
      <c r="K29" s="31">
        <f>E20+F30</f>
        <v>118.06250000000001</v>
      </c>
    </row>
    <row r="30" spans="1:27" ht="78" customHeight="1" x14ac:dyDescent="0.4">
      <c r="A30" s="390" t="s">
        <v>243</v>
      </c>
      <c r="B30" s="418" t="s">
        <v>254</v>
      </c>
      <c r="F30" s="9">
        <v>10</v>
      </c>
      <c r="G30" s="9" t="s">
        <v>169</v>
      </c>
      <c r="H30" s="17"/>
      <c r="I30" s="15"/>
      <c r="J30" s="10" t="s">
        <v>49</v>
      </c>
      <c r="K30" s="31">
        <f>D23+B20*A20+F30</f>
        <v>118.0625</v>
      </c>
    </row>
    <row r="31" spans="1:27" ht="57.75" customHeight="1" x14ac:dyDescent="0.4">
      <c r="A31" s="19"/>
      <c r="B31" s="20"/>
      <c r="C31" s="17"/>
      <c r="I31" s="9"/>
      <c r="J31" s="1"/>
      <c r="K31" s="1"/>
      <c r="L31" s="1"/>
      <c r="M31" s="2"/>
      <c r="N31" s="2"/>
    </row>
    <row r="32" spans="1:27" ht="20" x14ac:dyDescent="0.4">
      <c r="C32" s="17"/>
      <c r="D32" s="17"/>
      <c r="E32" s="17" t="s">
        <v>14</v>
      </c>
      <c r="F32" s="17"/>
      <c r="I32" s="15"/>
      <c r="J32" s="1"/>
      <c r="K32" s="1"/>
      <c r="L32" s="1"/>
      <c r="M32" s="2"/>
      <c r="N32" s="2"/>
    </row>
    <row r="33" spans="1:24" ht="20" x14ac:dyDescent="0.4">
      <c r="A33" s="19"/>
      <c r="B33" s="20"/>
      <c r="C33" s="17"/>
      <c r="D33" s="17"/>
      <c r="E33" s="23"/>
      <c r="F33" s="17"/>
      <c r="G33" s="17"/>
      <c r="H33" s="17"/>
      <c r="I33" s="15"/>
      <c r="J33" s="1"/>
      <c r="K33" s="1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20" x14ac:dyDescent="0.4">
      <c r="A34" s="19"/>
      <c r="B34" s="20"/>
      <c r="C34" s="17"/>
      <c r="D34" s="17"/>
      <c r="E34" s="17"/>
      <c r="F34" s="17"/>
      <c r="G34" s="17"/>
      <c r="H34" s="17"/>
      <c r="I34" s="15"/>
      <c r="J34" s="1"/>
      <c r="K34" s="1"/>
      <c r="L34" s="1"/>
      <c r="M34" s="2"/>
      <c r="N34" s="2"/>
    </row>
    <row r="35" spans="1:24" ht="18.5" x14ac:dyDescent="0.45">
      <c r="A35" s="16"/>
      <c r="B35" s="16"/>
      <c r="C35" s="16"/>
      <c r="D35" s="16"/>
      <c r="E35" s="16"/>
      <c r="F35" s="16"/>
      <c r="G35" s="16"/>
      <c r="H35" s="16"/>
      <c r="I35" s="16"/>
    </row>
  </sheetData>
  <mergeCells count="85">
    <mergeCell ref="M3:P3"/>
    <mergeCell ref="L5:M5"/>
    <mergeCell ref="N5:O5"/>
    <mergeCell ref="P5:Q5"/>
    <mergeCell ref="L6:M6"/>
    <mergeCell ref="N6:O6"/>
    <mergeCell ref="P6:Q6"/>
    <mergeCell ref="L7:M7"/>
    <mergeCell ref="N7:O7"/>
    <mergeCell ref="P7:Q7"/>
    <mergeCell ref="L8:M8"/>
    <mergeCell ref="N8:O8"/>
    <mergeCell ref="P8:Q8"/>
    <mergeCell ref="L9:M9"/>
    <mergeCell ref="N9:O9"/>
    <mergeCell ref="P9:Q9"/>
    <mergeCell ref="L10:M10"/>
    <mergeCell ref="N10:O10"/>
    <mergeCell ref="P10:Q10"/>
    <mergeCell ref="L11:M11"/>
    <mergeCell ref="N11:O11"/>
    <mergeCell ref="P11:Q11"/>
    <mergeCell ref="L12:M12"/>
    <mergeCell ref="N12:O12"/>
    <mergeCell ref="P12:Q12"/>
    <mergeCell ref="L13:M13"/>
    <mergeCell ref="N13:O13"/>
    <mergeCell ref="P13:Q13"/>
    <mergeCell ref="L14:M14"/>
    <mergeCell ref="N14:O14"/>
    <mergeCell ref="P14:Q14"/>
    <mergeCell ref="L15:M15"/>
    <mergeCell ref="N15:O15"/>
    <mergeCell ref="P15:Q15"/>
    <mergeCell ref="L16:M16"/>
    <mergeCell ref="N16:O16"/>
    <mergeCell ref="P16:Q16"/>
    <mergeCell ref="L18:M18"/>
    <mergeCell ref="N18:O18"/>
    <mergeCell ref="P18:Q18"/>
    <mergeCell ref="L19:M19"/>
    <mergeCell ref="A17:A19"/>
    <mergeCell ref="B17:B19"/>
    <mergeCell ref="C17:C19"/>
    <mergeCell ref="D17:D19"/>
    <mergeCell ref="E17:E19"/>
    <mergeCell ref="F17:F19"/>
    <mergeCell ref="N19:O19"/>
    <mergeCell ref="P19:Q19"/>
    <mergeCell ref="I17:I19"/>
    <mergeCell ref="L17:M17"/>
    <mergeCell ref="N17:O17"/>
    <mergeCell ref="P17:Q17"/>
    <mergeCell ref="A20:A22"/>
    <mergeCell ref="B20:B22"/>
    <mergeCell ref="C20:C22"/>
    <mergeCell ref="D20:D22"/>
    <mergeCell ref="E20:E22"/>
    <mergeCell ref="F20:F22"/>
    <mergeCell ref="G20:G22"/>
    <mergeCell ref="H20:H22"/>
    <mergeCell ref="G17:G19"/>
    <mergeCell ref="H17:H19"/>
    <mergeCell ref="P20:Q20"/>
    <mergeCell ref="L21:M21"/>
    <mergeCell ref="N21:O21"/>
    <mergeCell ref="P21:Q21"/>
    <mergeCell ref="L22:M22"/>
    <mergeCell ref="N22:O22"/>
    <mergeCell ref="P22:Q22"/>
    <mergeCell ref="L25:M25"/>
    <mergeCell ref="N25:O25"/>
    <mergeCell ref="I20:I22"/>
    <mergeCell ref="L20:M20"/>
    <mergeCell ref="N20:O20"/>
    <mergeCell ref="G23:I23"/>
    <mergeCell ref="L23:M23"/>
    <mergeCell ref="N23:O23"/>
    <mergeCell ref="L24:M24"/>
    <mergeCell ref="N24:O24"/>
    <mergeCell ref="L26:M26"/>
    <mergeCell ref="N26:O26"/>
    <mergeCell ref="A27:F27"/>
    <mergeCell ref="L27:M27"/>
    <mergeCell ref="N27:O27"/>
  </mergeCells>
  <pageMargins left="0.7" right="0.7" top="0.75" bottom="0.75" header="0.3" footer="0.3"/>
  <pageSetup paperSize="9" scale="31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topLeftCell="A3" zoomScale="40" zoomScaleNormal="40" workbookViewId="0">
      <selection activeCell="T5" sqref="T5"/>
    </sheetView>
  </sheetViews>
  <sheetFormatPr defaultColWidth="11.453125" defaultRowHeight="14.5" x14ac:dyDescent="0.35"/>
  <cols>
    <col min="1" max="1" width="12.08984375" customWidth="1"/>
    <col min="2" max="2" width="13" customWidth="1"/>
    <col min="3" max="3" width="15.453125" customWidth="1"/>
    <col min="4" max="5" width="14.453125" customWidth="1"/>
    <col min="6" max="6" width="19.90625" customWidth="1"/>
    <col min="7" max="7" width="13.453125" customWidth="1"/>
    <col min="8" max="8" width="13.90625" customWidth="1"/>
    <col min="9" max="9" width="23.08984375" bestFit="1" customWidth="1"/>
    <col min="10" max="10" width="21.08984375" customWidth="1"/>
    <col min="11" max="11" width="19.453125" bestFit="1" customWidth="1"/>
    <col min="13" max="13" width="10" customWidth="1"/>
    <col min="14" max="14" width="25.453125" customWidth="1"/>
    <col min="15" max="15" width="22.453125" customWidth="1"/>
    <col min="16" max="16" width="9.08984375" customWidth="1"/>
    <col min="17" max="17" width="81.08984375" bestFit="1" customWidth="1"/>
    <col min="18" max="18" width="10.453125" customWidth="1"/>
    <col min="19" max="19" width="10.453125" bestFit="1" customWidth="1"/>
    <col min="20" max="20" width="34.453125" customWidth="1"/>
  </cols>
  <sheetData>
    <row r="1" spans="1:25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</row>
    <row r="2" spans="1:25" ht="41.25" customHeight="1" x14ac:dyDescent="0.65">
      <c r="A2" s="84" t="s">
        <v>36</v>
      </c>
      <c r="B2" s="83"/>
      <c r="C2" s="98" t="s">
        <v>330</v>
      </c>
      <c r="D2" s="83"/>
      <c r="H2" s="91" t="s">
        <v>96</v>
      </c>
      <c r="I2" s="88"/>
      <c r="J2" s="89" t="s">
        <v>99</v>
      </c>
      <c r="K2" s="1"/>
      <c r="L2" s="1"/>
      <c r="M2" s="2"/>
      <c r="N2" s="2"/>
      <c r="O2" s="2"/>
    </row>
    <row r="3" spans="1:25" ht="30" x14ac:dyDescent="0.6">
      <c r="A3" s="119" t="s">
        <v>136</v>
      </c>
      <c r="B3" s="120"/>
      <c r="C3" s="121">
        <v>2143</v>
      </c>
      <c r="D3" s="122" t="s">
        <v>11</v>
      </c>
      <c r="E3" s="1"/>
      <c r="F3" s="121"/>
      <c r="G3" s="1"/>
      <c r="H3" s="92" t="s">
        <v>97</v>
      </c>
      <c r="I3" s="88"/>
      <c r="J3" s="89" t="s">
        <v>100</v>
      </c>
      <c r="K3" s="1"/>
      <c r="L3" s="1"/>
      <c r="M3" s="778" t="s">
        <v>146</v>
      </c>
      <c r="N3" s="779"/>
      <c r="O3" s="780"/>
    </row>
    <row r="4" spans="1:25" ht="20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Q4" s="13" t="s">
        <v>48</v>
      </c>
    </row>
    <row r="5" spans="1:25" ht="62.5" x14ac:dyDescent="0.55000000000000004">
      <c r="A5" s="10" t="s">
        <v>98</v>
      </c>
      <c r="B5" s="10" t="s">
        <v>0</v>
      </c>
      <c r="C5" s="10" t="s">
        <v>17</v>
      </c>
      <c r="D5" s="10" t="s">
        <v>1</v>
      </c>
      <c r="E5" s="11" t="s">
        <v>2</v>
      </c>
      <c r="F5" s="12" t="s">
        <v>3</v>
      </c>
      <c r="G5" s="13" t="s">
        <v>4</v>
      </c>
      <c r="H5" s="13" t="s">
        <v>5</v>
      </c>
      <c r="I5" s="93" t="s">
        <v>16</v>
      </c>
      <c r="J5" s="602" t="s">
        <v>15</v>
      </c>
      <c r="K5" s="602" t="s">
        <v>66</v>
      </c>
      <c r="L5" s="842" t="s">
        <v>143</v>
      </c>
      <c r="M5" s="843"/>
      <c r="N5" s="93" t="s">
        <v>144</v>
      </c>
      <c r="O5" s="10" t="s">
        <v>8</v>
      </c>
      <c r="P5" s="10" t="s">
        <v>137</v>
      </c>
      <c r="Q5" s="53"/>
      <c r="T5" s="251">
        <f>SUM(O6:O10,O13:O18)</f>
        <v>7484.8000000000047</v>
      </c>
    </row>
    <row r="6" spans="1:25" ht="69" customHeight="1" thickBot="1" x14ac:dyDescent="0.4">
      <c r="A6" s="590">
        <v>1</v>
      </c>
      <c r="B6" s="590">
        <v>5</v>
      </c>
      <c r="C6" s="590">
        <v>0.8</v>
      </c>
      <c r="D6" s="591">
        <f>ABS(F6/C6/60)</f>
        <v>0.16666666666666666</v>
      </c>
      <c r="E6" s="591">
        <f>D6+B6</f>
        <v>5.166666666666667</v>
      </c>
      <c r="F6" s="592">
        <v>-8</v>
      </c>
      <c r="G6" s="604">
        <f>C3-50</f>
        <v>2093</v>
      </c>
      <c r="H6" s="593"/>
      <c r="I6" s="594" t="s">
        <v>57</v>
      </c>
      <c r="J6" s="594" t="s">
        <v>126</v>
      </c>
      <c r="K6" s="590" t="s">
        <v>64</v>
      </c>
      <c r="L6" s="734">
        <v>34.734000000000002</v>
      </c>
      <c r="M6" s="735"/>
      <c r="N6" s="590">
        <v>35.470999999999997</v>
      </c>
      <c r="O6" s="590">
        <f t="shared" ref="O6:O18" si="0">(N6-L6)*1000</f>
        <v>736.99999999999477</v>
      </c>
      <c r="P6" s="590" t="s">
        <v>140</v>
      </c>
      <c r="Q6" s="611" t="s">
        <v>325</v>
      </c>
    </row>
    <row r="7" spans="1:25" ht="66" customHeight="1" thickBot="1" x14ac:dyDescent="0.4">
      <c r="A7" s="590">
        <v>2</v>
      </c>
      <c r="B7" s="590">
        <v>5</v>
      </c>
      <c r="C7" s="590">
        <v>0.8</v>
      </c>
      <c r="D7" s="617">
        <f>(F7-F6)/C7/60</f>
        <v>1.9375</v>
      </c>
      <c r="E7" s="591">
        <f>E6+B7+D7</f>
        <v>12.104166666666668</v>
      </c>
      <c r="F7" s="144">
        <f>G$6-G7-$F$24</f>
        <v>85</v>
      </c>
      <c r="G7" s="604">
        <v>2000</v>
      </c>
      <c r="H7" s="593"/>
      <c r="I7" s="594" t="s">
        <v>61</v>
      </c>
      <c r="J7" s="594" t="s">
        <v>127</v>
      </c>
      <c r="K7" s="590" t="s">
        <v>64</v>
      </c>
      <c r="L7" s="734">
        <v>55.582999999999998</v>
      </c>
      <c r="M7" s="735"/>
      <c r="N7" s="590">
        <v>56.244999999999997</v>
      </c>
      <c r="O7" s="621">
        <f t="shared" si="0"/>
        <v>661.99999999999909</v>
      </c>
      <c r="P7" s="590" t="s">
        <v>140</v>
      </c>
      <c r="Q7" s="54" t="s">
        <v>342</v>
      </c>
    </row>
    <row r="8" spans="1:25" ht="67.5" customHeight="1" thickBot="1" x14ac:dyDescent="0.4">
      <c r="A8" s="599">
        <v>3</v>
      </c>
      <c r="B8" s="599">
        <v>5</v>
      </c>
      <c r="C8" s="599">
        <v>0.8</v>
      </c>
      <c r="D8" s="617">
        <f>(F8-F7)/C8/60</f>
        <v>5.208333333333333</v>
      </c>
      <c r="E8" s="606">
        <f>E7+B8+D8</f>
        <v>22.3125</v>
      </c>
      <c r="F8" s="165">
        <f>G7-G8+F7</f>
        <v>335</v>
      </c>
      <c r="G8" s="599">
        <v>1750</v>
      </c>
      <c r="H8" s="601"/>
      <c r="I8" s="301" t="s">
        <v>324</v>
      </c>
      <c r="J8" s="599" t="s">
        <v>132</v>
      </c>
      <c r="K8" s="599" t="s">
        <v>64</v>
      </c>
      <c r="L8" s="810">
        <v>102.497</v>
      </c>
      <c r="M8" s="811"/>
      <c r="N8" s="599">
        <v>103.431</v>
      </c>
      <c r="O8" s="621">
        <f t="shared" si="0"/>
        <v>933.9999999999975</v>
      </c>
      <c r="P8" s="599" t="s">
        <v>140</v>
      </c>
      <c r="Q8" s="600" t="s">
        <v>338</v>
      </c>
    </row>
    <row r="9" spans="1:25" ht="76.5" customHeight="1" thickBot="1" x14ac:dyDescent="0.4">
      <c r="A9" s="590">
        <v>4</v>
      </c>
      <c r="B9" s="590">
        <v>5</v>
      </c>
      <c r="C9" s="590">
        <v>0.8</v>
      </c>
      <c r="D9" s="591">
        <f>(F9-F8)/C9/60</f>
        <v>5.208333333333333</v>
      </c>
      <c r="E9" s="591">
        <f>E8+B9+D9</f>
        <v>32.520833333333336</v>
      </c>
      <c r="F9" s="144">
        <f>G$8-G9+F8</f>
        <v>585</v>
      </c>
      <c r="G9" s="590">
        <v>1500</v>
      </c>
      <c r="H9" s="593"/>
      <c r="I9" s="603" t="s">
        <v>246</v>
      </c>
      <c r="J9" s="590" t="s">
        <v>128</v>
      </c>
      <c r="K9" s="590" t="s">
        <v>64</v>
      </c>
      <c r="L9" s="734">
        <v>39.368000000000002</v>
      </c>
      <c r="M9" s="735"/>
      <c r="N9" s="590">
        <v>40.307000000000002</v>
      </c>
      <c r="O9" s="621">
        <f t="shared" si="0"/>
        <v>939</v>
      </c>
      <c r="P9" s="590" t="s">
        <v>140</v>
      </c>
      <c r="Q9" s="54"/>
    </row>
    <row r="10" spans="1:25" ht="73.5" customHeight="1" thickBot="1" x14ac:dyDescent="0.4">
      <c r="A10" s="607">
        <v>5</v>
      </c>
      <c r="B10" s="607">
        <v>5</v>
      </c>
      <c r="C10" s="607">
        <v>0.8</v>
      </c>
      <c r="D10" s="210">
        <f>(F10-F9)/C10/60</f>
        <v>10.416666666666666</v>
      </c>
      <c r="E10" s="210">
        <f>E9+B10+D10</f>
        <v>47.9375</v>
      </c>
      <c r="F10" s="229">
        <f>G9-G10+F9</f>
        <v>1085</v>
      </c>
      <c r="G10" s="607">
        <v>1000</v>
      </c>
      <c r="H10" s="212"/>
      <c r="I10" s="164" t="s">
        <v>60</v>
      </c>
      <c r="J10" s="607" t="s">
        <v>129</v>
      </c>
      <c r="K10" s="607" t="s">
        <v>64</v>
      </c>
      <c r="L10" s="816">
        <v>56.435000000000002</v>
      </c>
      <c r="M10" s="817"/>
      <c r="N10" s="615">
        <v>57.171999999999997</v>
      </c>
      <c r="O10" s="621">
        <f t="shared" si="0"/>
        <v>736.99999999999477</v>
      </c>
      <c r="P10" s="615" t="s">
        <v>140</v>
      </c>
      <c r="Q10" s="170"/>
    </row>
    <row r="11" spans="1:25" ht="46.5" customHeight="1" thickBot="1" x14ac:dyDescent="0.4">
      <c r="A11" s="806">
        <v>6</v>
      </c>
      <c r="B11" s="806">
        <v>5</v>
      </c>
      <c r="C11" s="806">
        <v>0.8</v>
      </c>
      <c r="D11" s="807">
        <f>(F11-F10)/C11/60</f>
        <v>4.166666666666667</v>
      </c>
      <c r="E11" s="807">
        <f>E10+B11+D11</f>
        <v>57.104166666666664</v>
      </c>
      <c r="F11" s="890">
        <f>G10-G11+F10</f>
        <v>1285</v>
      </c>
      <c r="G11" s="823">
        <v>800</v>
      </c>
      <c r="H11" s="824"/>
      <c r="I11" s="834" t="s">
        <v>27</v>
      </c>
      <c r="J11" s="615" t="s">
        <v>150</v>
      </c>
      <c r="K11" s="615" t="s">
        <v>64</v>
      </c>
      <c r="L11" s="812">
        <v>6.7209000000000003</v>
      </c>
      <c r="M11" s="813"/>
      <c r="N11" s="618">
        <v>7.2549999999999999</v>
      </c>
      <c r="O11" s="621">
        <f t="shared" si="0"/>
        <v>534.09999999999957</v>
      </c>
      <c r="P11" s="618"/>
      <c r="Q11" s="642" t="s">
        <v>340</v>
      </c>
      <c r="R11" s="22"/>
      <c r="S11" s="22"/>
      <c r="T11" s="22"/>
      <c r="U11" s="619"/>
      <c r="V11" s="619"/>
      <c r="W11" s="619"/>
      <c r="X11" s="619"/>
      <c r="Y11" s="620"/>
    </row>
    <row r="12" spans="1:25" ht="46.5" customHeight="1" thickBot="1" x14ac:dyDescent="0.4">
      <c r="A12" s="742"/>
      <c r="B12" s="742"/>
      <c r="C12" s="742"/>
      <c r="D12" s="789"/>
      <c r="E12" s="789"/>
      <c r="F12" s="821"/>
      <c r="G12" s="740"/>
      <c r="H12" s="825"/>
      <c r="I12" s="835"/>
      <c r="J12" s="612" t="s">
        <v>151</v>
      </c>
      <c r="K12" s="612" t="s">
        <v>64</v>
      </c>
      <c r="L12" s="814">
        <v>9.1050000000000004</v>
      </c>
      <c r="M12" s="815"/>
      <c r="N12" s="618">
        <v>9.6485000000000003</v>
      </c>
      <c r="O12" s="621">
        <f t="shared" si="0"/>
        <v>543.49999999999989</v>
      </c>
      <c r="P12" s="618"/>
      <c r="Q12" s="618" t="s">
        <v>341</v>
      </c>
      <c r="R12" s="619"/>
      <c r="S12" s="619"/>
      <c r="T12" s="619"/>
      <c r="U12" s="22"/>
      <c r="V12" s="22"/>
      <c r="W12" s="22"/>
      <c r="X12" s="22"/>
      <c r="Y12" s="620"/>
    </row>
    <row r="13" spans="1:25" ht="46.5" customHeight="1" thickBot="1" x14ac:dyDescent="0.4">
      <c r="A13" s="743"/>
      <c r="B13" s="743"/>
      <c r="C13" s="743"/>
      <c r="D13" s="790"/>
      <c r="E13" s="790"/>
      <c r="F13" s="822"/>
      <c r="G13" s="741"/>
      <c r="H13" s="826"/>
      <c r="I13" s="836"/>
      <c r="J13" s="613" t="s">
        <v>179</v>
      </c>
      <c r="K13" s="613"/>
      <c r="L13" s="810">
        <v>15.5284</v>
      </c>
      <c r="M13" s="811"/>
      <c r="N13" s="618">
        <v>16.599900000000002</v>
      </c>
      <c r="O13" s="621">
        <f t="shared" si="0"/>
        <v>1071.500000000002</v>
      </c>
      <c r="P13" s="618"/>
      <c r="Q13" s="618"/>
      <c r="R13" s="619"/>
      <c r="S13" s="619"/>
      <c r="T13" s="619"/>
      <c r="U13" s="22"/>
      <c r="V13" s="22"/>
      <c r="W13" s="22"/>
      <c r="X13" s="22"/>
      <c r="Y13" s="620"/>
    </row>
    <row r="14" spans="1:25" ht="64.5" customHeight="1" thickBot="1" x14ac:dyDescent="0.4">
      <c r="A14" s="590">
        <v>7</v>
      </c>
      <c r="B14" s="590">
        <v>5</v>
      </c>
      <c r="C14" s="590">
        <v>0.8</v>
      </c>
      <c r="D14" s="591">
        <f>(F14-F11)/C14/60</f>
        <v>4.166666666666667</v>
      </c>
      <c r="E14" s="591">
        <f>E11+B14+D14</f>
        <v>66.270833333333329</v>
      </c>
      <c r="F14" s="144">
        <f>G11-G14+F11</f>
        <v>1485</v>
      </c>
      <c r="G14" s="590">
        <v>600</v>
      </c>
      <c r="H14" s="593"/>
      <c r="I14" s="594" t="s">
        <v>122</v>
      </c>
      <c r="J14" s="590" t="s">
        <v>130</v>
      </c>
      <c r="K14" s="590" t="s">
        <v>64</v>
      </c>
      <c r="L14" s="734">
        <v>15.403</v>
      </c>
      <c r="M14" s="735"/>
      <c r="N14" s="590">
        <v>16.367000000000001</v>
      </c>
      <c r="O14" s="621">
        <f t="shared" si="0"/>
        <v>964.00000000000045</v>
      </c>
      <c r="P14" s="590" t="s">
        <v>140</v>
      </c>
      <c r="Q14" s="611" t="s">
        <v>326</v>
      </c>
      <c r="R14" s="40"/>
      <c r="S14" s="40"/>
      <c r="T14" s="40"/>
      <c r="U14" s="40"/>
      <c r="V14" s="40"/>
      <c r="W14" s="40"/>
      <c r="X14" s="40"/>
      <c r="Y14" s="40"/>
    </row>
    <row r="15" spans="1:25" ht="64.5" customHeight="1" thickBot="1" x14ac:dyDescent="0.4">
      <c r="A15" s="590">
        <v>8</v>
      </c>
      <c r="B15" s="590">
        <v>5</v>
      </c>
      <c r="C15" s="590">
        <v>0.8</v>
      </c>
      <c r="D15" s="591">
        <f>(F15-F14)/C15/60</f>
        <v>4.166666666666667</v>
      </c>
      <c r="E15" s="591">
        <f>E14+B15+D15</f>
        <v>75.4375</v>
      </c>
      <c r="F15" s="144">
        <f>G14-G15+F14</f>
        <v>1685</v>
      </c>
      <c r="G15" s="590">
        <v>400</v>
      </c>
      <c r="H15" s="593"/>
      <c r="I15" s="594" t="s">
        <v>118</v>
      </c>
      <c r="J15" s="590" t="s">
        <v>131</v>
      </c>
      <c r="K15" s="590" t="s">
        <v>64</v>
      </c>
      <c r="L15" s="734">
        <v>79.123999999999995</v>
      </c>
      <c r="M15" s="735"/>
      <c r="N15" s="590">
        <v>79.957999999999998</v>
      </c>
      <c r="O15" s="621">
        <f t="shared" si="0"/>
        <v>834.00000000000318</v>
      </c>
      <c r="P15" s="590" t="s">
        <v>140</v>
      </c>
      <c r="Q15" s="54"/>
    </row>
    <row r="16" spans="1:25" ht="67.5" customHeight="1" thickBot="1" x14ac:dyDescent="0.4">
      <c r="A16" s="599">
        <v>9</v>
      </c>
      <c r="B16" s="599">
        <v>5</v>
      </c>
      <c r="C16" s="599">
        <v>0.8</v>
      </c>
      <c r="D16" s="606">
        <f>(F16-F15)/C16/60</f>
        <v>4.166666666666667</v>
      </c>
      <c r="E16" s="606">
        <f>E15+B16+D16</f>
        <v>84.604166666666671</v>
      </c>
      <c r="F16" s="165">
        <f>G15-G16+F15</f>
        <v>1885</v>
      </c>
      <c r="G16" s="599">
        <v>200</v>
      </c>
      <c r="H16" s="601"/>
      <c r="I16" s="614" t="s">
        <v>331</v>
      </c>
      <c r="J16" s="616" t="s">
        <v>133</v>
      </c>
      <c r="K16" s="599" t="s">
        <v>64</v>
      </c>
      <c r="L16" s="810">
        <v>80.613</v>
      </c>
      <c r="M16" s="811"/>
      <c r="N16" s="599">
        <v>81.087000000000003</v>
      </c>
      <c r="O16" s="621">
        <f t="shared" si="0"/>
        <v>474.00000000000375</v>
      </c>
      <c r="P16" s="599" t="s">
        <v>140</v>
      </c>
      <c r="Q16" s="611" t="s">
        <v>333</v>
      </c>
    </row>
    <row r="17" spans="1:19" ht="69" customHeight="1" thickBot="1" x14ac:dyDescent="0.4">
      <c r="A17" s="599">
        <v>10</v>
      </c>
      <c r="B17" s="599">
        <v>5</v>
      </c>
      <c r="C17" s="599">
        <v>0.8</v>
      </c>
      <c r="D17" s="606">
        <f>(F17-F16)/C17/60</f>
        <v>2.0833333333333335</v>
      </c>
      <c r="E17" s="606">
        <f>E16+B17+D17</f>
        <v>91.6875</v>
      </c>
      <c r="F17" s="165">
        <f>G16-G17+F16</f>
        <v>1985</v>
      </c>
      <c r="G17" s="599">
        <v>100</v>
      </c>
      <c r="H17" s="601"/>
      <c r="I17" s="597" t="s">
        <v>119</v>
      </c>
      <c r="J17" s="599" t="s">
        <v>134</v>
      </c>
      <c r="K17" s="599" t="s">
        <v>64</v>
      </c>
      <c r="L17" s="810">
        <v>84.543999999999997</v>
      </c>
      <c r="M17" s="811"/>
      <c r="N17" s="599">
        <v>84.626000000000005</v>
      </c>
      <c r="O17" s="621">
        <f t="shared" si="0"/>
        <v>82.000000000007844</v>
      </c>
      <c r="P17" s="599" t="s">
        <v>140</v>
      </c>
      <c r="Q17" s="600" t="s">
        <v>339</v>
      </c>
    </row>
    <row r="18" spans="1:19" ht="67.5" customHeight="1" thickBot="1" x14ac:dyDescent="0.4">
      <c r="A18" s="599">
        <v>11</v>
      </c>
      <c r="B18" s="599">
        <v>5</v>
      </c>
      <c r="C18" s="599">
        <v>0.8</v>
      </c>
      <c r="D18" s="606">
        <f>(F18-F17)/C18/60</f>
        <v>1.6666666666666667</v>
      </c>
      <c r="E18" s="606">
        <f>E17+B18+D18</f>
        <v>98.354166666666671</v>
      </c>
      <c r="F18" s="165">
        <f>G17-G18+F17</f>
        <v>2065</v>
      </c>
      <c r="G18" s="599">
        <v>20</v>
      </c>
      <c r="H18" s="601"/>
      <c r="I18" s="597" t="s">
        <v>121</v>
      </c>
      <c r="J18" s="599" t="s">
        <v>135</v>
      </c>
      <c r="K18" s="599" t="s">
        <v>64</v>
      </c>
      <c r="L18" s="741">
        <v>10.182</v>
      </c>
      <c r="M18" s="741"/>
      <c r="N18" s="599">
        <v>10.2323</v>
      </c>
      <c r="O18" s="621">
        <f t="shared" si="0"/>
        <v>50.300000000000011</v>
      </c>
      <c r="P18" s="599" t="s">
        <v>140</v>
      </c>
      <c r="Q18" s="622" t="s">
        <v>343</v>
      </c>
    </row>
    <row r="19" spans="1:19" ht="40.5" thickBot="1" x14ac:dyDescent="0.6">
      <c r="A19" s="38" t="s">
        <v>10</v>
      </c>
      <c r="B19" s="599">
        <f>SUM(B6:B18)</f>
        <v>55</v>
      </c>
      <c r="C19" s="599"/>
      <c r="D19" s="606">
        <f>SUM(D6:D18)</f>
        <v>43.354166666666664</v>
      </c>
      <c r="E19" s="606"/>
      <c r="F19" s="165">
        <f>G18+F18</f>
        <v>2085</v>
      </c>
      <c r="G19" s="827" t="s">
        <v>18</v>
      </c>
      <c r="H19" s="828"/>
      <c r="I19" s="828"/>
      <c r="J19" s="22"/>
      <c r="K19" s="97" t="s">
        <v>103</v>
      </c>
      <c r="L19" s="136" t="s">
        <v>102</v>
      </c>
      <c r="M19" s="136"/>
      <c r="N19" s="595" t="s">
        <v>53</v>
      </c>
    </row>
    <row r="20" spans="1:19" ht="46" x14ac:dyDescent="0.35">
      <c r="A20" s="24" t="s">
        <v>12</v>
      </c>
      <c r="B20" s="598">
        <f>B19/60</f>
        <v>0.91666666666666663</v>
      </c>
      <c r="C20" s="598"/>
      <c r="D20" s="605" t="s">
        <v>14</v>
      </c>
      <c r="E20" s="605"/>
      <c r="F20" s="420"/>
      <c r="J20" s="95" t="s">
        <v>145</v>
      </c>
      <c r="K20" s="30">
        <v>44246</v>
      </c>
      <c r="L20" s="829">
        <v>0.50694444444444442</v>
      </c>
      <c r="M20" s="841"/>
      <c r="N20" s="589">
        <v>0.2986111111111111</v>
      </c>
      <c r="S20">
        <v>1</v>
      </c>
    </row>
    <row r="21" spans="1:19" ht="55.4" customHeight="1" x14ac:dyDescent="0.35">
      <c r="J21" s="96" t="s">
        <v>45</v>
      </c>
      <c r="K21" s="30">
        <v>44246</v>
      </c>
      <c r="L21" s="762">
        <v>0.58333333333333337</v>
      </c>
      <c r="M21" s="763"/>
      <c r="N21" s="596">
        <v>0.375</v>
      </c>
    </row>
    <row r="22" spans="1:19" ht="50.25" customHeight="1" x14ac:dyDescent="0.35">
      <c r="A22" s="1"/>
      <c r="B22" s="1"/>
      <c r="C22" s="1"/>
      <c r="D22" s="1"/>
      <c r="E22" s="1"/>
      <c r="F22" s="1"/>
      <c r="G22" s="1"/>
      <c r="J22" s="96" t="s">
        <v>46</v>
      </c>
      <c r="K22" s="30">
        <v>44246</v>
      </c>
      <c r="L22" s="762">
        <v>0.70833333333333337</v>
      </c>
      <c r="M22" s="766"/>
      <c r="N22" s="596">
        <v>0.5</v>
      </c>
    </row>
    <row r="23" spans="1:19" ht="50.25" customHeight="1" x14ac:dyDescent="0.35">
      <c r="A23" s="805" t="s">
        <v>52</v>
      </c>
      <c r="B23" s="805"/>
      <c r="C23" s="805"/>
      <c r="D23" s="805"/>
      <c r="E23" s="805"/>
      <c r="F23" s="805"/>
      <c r="J23" s="96" t="s">
        <v>47</v>
      </c>
      <c r="K23" s="30">
        <v>44246</v>
      </c>
      <c r="L23" s="762">
        <v>0.76041666666666663</v>
      </c>
      <c r="M23" s="766"/>
      <c r="N23" s="596">
        <v>0.55208333333333337</v>
      </c>
    </row>
    <row r="24" spans="1:19" ht="20" x14ac:dyDescent="0.4">
      <c r="A24" s="17" t="s">
        <v>51</v>
      </c>
      <c r="B24" s="192"/>
      <c r="C24" s="17"/>
      <c r="F24" s="22">
        <v>8</v>
      </c>
      <c r="G24" s="20" t="s">
        <v>11</v>
      </c>
      <c r="J24" s="17"/>
      <c r="K24" s="19"/>
    </row>
    <row r="25" spans="1:19" ht="60" customHeight="1" x14ac:dyDescent="0.7">
      <c r="A25" s="146" t="s">
        <v>329</v>
      </c>
      <c r="F25" s="17">
        <v>10</v>
      </c>
      <c r="G25" s="17" t="s">
        <v>332</v>
      </c>
      <c r="J25" s="10" t="s">
        <v>50</v>
      </c>
      <c r="K25" s="31">
        <f>E18+F25</f>
        <v>108.35416666666667</v>
      </c>
    </row>
    <row r="26" spans="1:19" ht="78" customHeight="1" x14ac:dyDescent="0.4">
      <c r="B26" t="s">
        <v>334</v>
      </c>
      <c r="F26" s="17"/>
      <c r="G26" s="17"/>
      <c r="H26" s="17"/>
      <c r="I26" s="15"/>
      <c r="J26" s="10" t="s">
        <v>49</v>
      </c>
      <c r="K26" s="31">
        <f>D19+B6*A18+F25</f>
        <v>108.35416666666666</v>
      </c>
    </row>
    <row r="27" spans="1:19" ht="57.75" customHeight="1" x14ac:dyDescent="0.4">
      <c r="A27" s="19"/>
      <c r="B27" s="20"/>
      <c r="C27" s="17"/>
      <c r="I27" s="9"/>
      <c r="J27" s="1"/>
      <c r="K27" s="1"/>
      <c r="L27" s="1"/>
      <c r="M27" s="2"/>
    </row>
    <row r="28" spans="1:19" ht="20" x14ac:dyDescent="0.4">
      <c r="C28" s="17"/>
      <c r="D28" s="17"/>
      <c r="E28" s="17" t="s">
        <v>14</v>
      </c>
      <c r="F28" s="17"/>
      <c r="I28" s="15"/>
      <c r="J28" s="1"/>
      <c r="K28" s="1"/>
      <c r="L28" s="1"/>
      <c r="M28" s="2"/>
    </row>
    <row r="29" spans="1:19" ht="20" x14ac:dyDescent="0.4">
      <c r="A29" s="19"/>
      <c r="B29" s="20"/>
      <c r="C29" s="17"/>
      <c r="D29" s="17"/>
      <c r="E29" s="23"/>
      <c r="F29" s="17"/>
      <c r="G29" s="17"/>
      <c r="H29" s="17"/>
      <c r="I29" s="15"/>
      <c r="J29" s="1"/>
      <c r="K29" s="1"/>
      <c r="L29" s="1"/>
      <c r="M29" s="2"/>
      <c r="N29" s="2"/>
      <c r="O29" s="2"/>
    </row>
    <row r="30" spans="1:19" ht="20" x14ac:dyDescent="0.4">
      <c r="A30" s="19"/>
      <c r="B30" s="20"/>
      <c r="C30" s="17"/>
      <c r="D30" s="17"/>
      <c r="E30" s="17"/>
      <c r="F30" s="17"/>
      <c r="G30" s="17"/>
      <c r="H30" s="17"/>
      <c r="I30" s="15"/>
      <c r="J30" s="1"/>
      <c r="K30" s="1"/>
      <c r="L30" s="1"/>
      <c r="M30" s="2"/>
    </row>
    <row r="31" spans="1:19" ht="18.5" x14ac:dyDescent="0.45">
      <c r="A31" s="16"/>
      <c r="B31" s="16"/>
      <c r="C31" s="16"/>
      <c r="D31" s="16"/>
      <c r="E31" s="16"/>
      <c r="F31" s="16"/>
      <c r="G31" s="16"/>
      <c r="H31" s="16"/>
      <c r="I31" s="16"/>
    </row>
  </sheetData>
  <mergeCells count="30">
    <mergeCell ref="G19:I19"/>
    <mergeCell ref="L20:M20"/>
    <mergeCell ref="L21:M21"/>
    <mergeCell ref="L22:M22"/>
    <mergeCell ref="A23:F23"/>
    <mergeCell ref="L23:M23"/>
    <mergeCell ref="L18:M18"/>
    <mergeCell ref="M3:O3"/>
    <mergeCell ref="L5:M5"/>
    <mergeCell ref="L6:M6"/>
    <mergeCell ref="L7:M7"/>
    <mergeCell ref="L9:M9"/>
    <mergeCell ref="L10:M10"/>
    <mergeCell ref="L14:M14"/>
    <mergeCell ref="L15:M15"/>
    <mergeCell ref="L8:M8"/>
    <mergeCell ref="L16:M16"/>
    <mergeCell ref="L17:M17"/>
    <mergeCell ref="L12:M12"/>
    <mergeCell ref="L13:M13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L11:M11"/>
  </mergeCells>
  <pageMargins left="0.7" right="0.7" top="0.75" bottom="0.75" header="0.3" footer="0.3"/>
  <pageSetup paperSize="9" scale="3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topLeftCell="A5" zoomScale="30" zoomScaleNormal="30" workbookViewId="0">
      <selection activeCell="W24" sqref="W24"/>
    </sheetView>
  </sheetViews>
  <sheetFormatPr defaultColWidth="11.453125" defaultRowHeight="14.5" x14ac:dyDescent="0.35"/>
  <cols>
    <col min="1" max="1" width="12.08984375" customWidth="1"/>
    <col min="2" max="2" width="13" customWidth="1"/>
    <col min="3" max="3" width="15.453125" customWidth="1"/>
    <col min="4" max="5" width="14.453125" customWidth="1"/>
    <col min="6" max="6" width="19.90625" customWidth="1"/>
    <col min="7" max="7" width="13.453125" customWidth="1"/>
    <col min="8" max="8" width="13.90625" customWidth="1"/>
    <col min="9" max="9" width="30.453125" customWidth="1"/>
    <col min="10" max="10" width="21.08984375" customWidth="1"/>
    <col min="11" max="11" width="20.90625" customWidth="1"/>
    <col min="12" max="12" width="11.453125" customWidth="1"/>
    <col min="13" max="14" width="10" customWidth="1"/>
    <col min="15" max="15" width="16.08984375" customWidth="1"/>
    <col min="16" max="16" width="15.90625" customWidth="1"/>
    <col min="17" max="17" width="11.90625" customWidth="1"/>
    <col min="18" max="18" width="6.453125" customWidth="1"/>
    <col min="19" max="19" width="10.453125" bestFit="1" customWidth="1"/>
    <col min="20" max="20" width="10.453125" customWidth="1"/>
    <col min="21" max="21" width="12.08984375" bestFit="1" customWidth="1"/>
    <col min="22" max="22" width="6.453125" customWidth="1"/>
    <col min="23" max="23" width="12.453125" bestFit="1" customWidth="1"/>
    <col min="24" max="24" width="8.453125" customWidth="1"/>
    <col min="25" max="25" width="66.453125" customWidth="1"/>
    <col min="26" max="26" width="10.453125" customWidth="1"/>
  </cols>
  <sheetData>
    <row r="1" spans="1:28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8" ht="41.25" customHeight="1" x14ac:dyDescent="0.65">
      <c r="A2" s="84" t="s">
        <v>36</v>
      </c>
      <c r="B2" s="83"/>
      <c r="C2" s="98" t="s">
        <v>348</v>
      </c>
      <c r="D2" s="83"/>
      <c r="H2" s="91" t="s">
        <v>96</v>
      </c>
      <c r="I2" s="423"/>
      <c r="J2" s="89" t="s">
        <v>99</v>
      </c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8" ht="30" x14ac:dyDescent="0.6">
      <c r="A3" s="119" t="s">
        <v>136</v>
      </c>
      <c r="B3" s="120"/>
      <c r="C3" s="121">
        <v>2087</v>
      </c>
      <c r="D3" s="122" t="s">
        <v>11</v>
      </c>
      <c r="E3" s="1"/>
      <c r="F3" s="1"/>
      <c r="G3" s="1"/>
      <c r="H3" s="92" t="s">
        <v>97</v>
      </c>
      <c r="I3" s="423"/>
      <c r="J3" s="89" t="s">
        <v>100</v>
      </c>
      <c r="K3" s="1"/>
      <c r="L3" s="1"/>
      <c r="M3" s="831" t="s">
        <v>43</v>
      </c>
      <c r="N3" s="832"/>
      <c r="O3" s="832"/>
      <c r="P3" s="833"/>
      <c r="Q3" s="637"/>
      <c r="R3" s="637"/>
      <c r="S3" s="637"/>
      <c r="T3" s="637"/>
      <c r="U3" s="637"/>
      <c r="V3" s="637"/>
      <c r="W3" s="637"/>
      <c r="X3" s="637"/>
    </row>
    <row r="4" spans="1:28" ht="20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3" t="s">
        <v>48</v>
      </c>
    </row>
    <row r="5" spans="1:28" ht="62.5" x14ac:dyDescent="0.55000000000000004">
      <c r="A5" s="11" t="s">
        <v>98</v>
      </c>
      <c r="B5" s="11" t="s">
        <v>0</v>
      </c>
      <c r="C5" s="11" t="s">
        <v>17</v>
      </c>
      <c r="D5" s="11" t="s">
        <v>1</v>
      </c>
      <c r="E5" s="11" t="s">
        <v>2</v>
      </c>
      <c r="F5" s="189" t="s">
        <v>3</v>
      </c>
      <c r="G5" s="189" t="s">
        <v>4</v>
      </c>
      <c r="H5" s="189" t="s">
        <v>5</v>
      </c>
      <c r="I5" s="190" t="s">
        <v>16</v>
      </c>
      <c r="J5" s="635" t="s">
        <v>15</v>
      </c>
      <c r="K5" s="635" t="s">
        <v>66</v>
      </c>
      <c r="L5" s="818" t="s">
        <v>143</v>
      </c>
      <c r="M5" s="819"/>
      <c r="N5" s="818" t="s">
        <v>144</v>
      </c>
      <c r="O5" s="819"/>
      <c r="P5" s="818" t="s">
        <v>8</v>
      </c>
      <c r="Q5" s="819"/>
      <c r="R5" s="28" t="s">
        <v>41</v>
      </c>
      <c r="S5" s="28" t="s">
        <v>40</v>
      </c>
      <c r="T5" s="28" t="s">
        <v>184</v>
      </c>
      <c r="U5" s="28" t="s">
        <v>39</v>
      </c>
      <c r="V5" s="28" t="s">
        <v>178</v>
      </c>
      <c r="W5" s="28" t="s">
        <v>148</v>
      </c>
      <c r="X5" s="28" t="s">
        <v>42</v>
      </c>
      <c r="Y5" s="53"/>
      <c r="AB5" s="251">
        <f>SUM(P6:Q16,P19,P22)</f>
        <v>9693.1000000000204</v>
      </c>
    </row>
    <row r="6" spans="1:28" ht="46.5" customHeight="1" thickBot="1" x14ac:dyDescent="0.4">
      <c r="A6" s="624">
        <v>1</v>
      </c>
      <c r="B6" s="624">
        <v>5</v>
      </c>
      <c r="C6" s="624">
        <v>0.8</v>
      </c>
      <c r="D6" s="626">
        <f>ABS(F6/C6/60)</f>
        <v>0.14583333333333334</v>
      </c>
      <c r="E6" s="626">
        <f>D6+B6</f>
        <v>5.145833333333333</v>
      </c>
      <c r="F6" s="627">
        <v>-7</v>
      </c>
      <c r="G6" s="636">
        <f>C3-50</f>
        <v>2037</v>
      </c>
      <c r="H6" s="641" t="s">
        <v>244</v>
      </c>
      <c r="I6" s="629" t="s">
        <v>72</v>
      </c>
      <c r="J6" s="624" t="s">
        <v>132</v>
      </c>
      <c r="K6" s="646" t="s">
        <v>64</v>
      </c>
      <c r="L6" s="734">
        <v>103.431</v>
      </c>
      <c r="M6" s="735"/>
      <c r="N6" s="810">
        <v>104.068</v>
      </c>
      <c r="O6" s="811"/>
      <c r="P6" s="810">
        <f t="shared" ref="P6:P22" si="0">(N6-L6)*1000</f>
        <v>637.00000000000045</v>
      </c>
      <c r="Q6" s="811"/>
      <c r="R6" s="624"/>
      <c r="S6" s="624"/>
      <c r="T6" s="624"/>
      <c r="U6" s="141" t="s">
        <v>54</v>
      </c>
      <c r="V6" s="141" t="s">
        <v>54</v>
      </c>
      <c r="W6" s="141"/>
      <c r="X6" s="141"/>
      <c r="Y6" s="143" t="s">
        <v>342</v>
      </c>
    </row>
    <row r="7" spans="1:28" ht="46.5" customHeight="1" thickBot="1" x14ac:dyDescent="0.4">
      <c r="A7" s="624">
        <v>2</v>
      </c>
      <c r="B7" s="624">
        <v>5</v>
      </c>
      <c r="C7" s="629">
        <v>0.8</v>
      </c>
      <c r="D7" s="626">
        <f>(F7-F6)/C7/60</f>
        <v>2.8541666666666665</v>
      </c>
      <c r="E7" s="626">
        <f t="shared" ref="E7:E13" si="1">E6+B7+D7</f>
        <v>12.999999999999998</v>
      </c>
      <c r="F7" s="144">
        <f>G$6-G7-$F$28+1</f>
        <v>130</v>
      </c>
      <c r="G7" s="670">
        <v>1900</v>
      </c>
      <c r="H7" s="671"/>
      <c r="I7" s="629" t="s">
        <v>186</v>
      </c>
      <c r="J7" s="629" t="s">
        <v>130</v>
      </c>
      <c r="K7" s="646" t="s">
        <v>64</v>
      </c>
      <c r="L7" s="734">
        <v>16.367999999999999</v>
      </c>
      <c r="M7" s="735"/>
      <c r="N7" s="816">
        <v>17.297000000000001</v>
      </c>
      <c r="O7" s="817"/>
      <c r="P7" s="810">
        <f t="shared" si="0"/>
        <v>929.00000000000205</v>
      </c>
      <c r="Q7" s="811"/>
      <c r="R7" s="624"/>
      <c r="S7" s="624"/>
      <c r="T7" s="624"/>
      <c r="U7" s="141" t="s">
        <v>54</v>
      </c>
      <c r="V7" s="141" t="s">
        <v>54</v>
      </c>
      <c r="W7" s="141"/>
      <c r="X7" s="141"/>
      <c r="Y7" s="54" t="s">
        <v>353</v>
      </c>
    </row>
    <row r="8" spans="1:28" ht="46.5" customHeight="1" thickBot="1" x14ac:dyDescent="0.4">
      <c r="A8" s="624">
        <v>3</v>
      </c>
      <c r="B8" s="624">
        <v>5</v>
      </c>
      <c r="C8" s="629">
        <v>0.8</v>
      </c>
      <c r="D8" s="626">
        <f>(F8-F7)/C8/60</f>
        <v>16.25</v>
      </c>
      <c r="E8" s="626">
        <f t="shared" si="1"/>
        <v>34.25</v>
      </c>
      <c r="F8" s="144">
        <f>G$7-G8+F7</f>
        <v>910</v>
      </c>
      <c r="G8" s="670">
        <v>1120</v>
      </c>
      <c r="H8" s="666"/>
      <c r="I8" s="629" t="s">
        <v>60</v>
      </c>
      <c r="J8" s="624" t="s">
        <v>129</v>
      </c>
      <c r="K8" s="646" t="s">
        <v>64</v>
      </c>
      <c r="L8" s="734">
        <v>57.171999999999997</v>
      </c>
      <c r="M8" s="735"/>
      <c r="N8" s="816">
        <v>57.819000000000003</v>
      </c>
      <c r="O8" s="817"/>
      <c r="P8" s="810">
        <f t="shared" si="0"/>
        <v>647.00000000000557</v>
      </c>
      <c r="Q8" s="811"/>
      <c r="R8" s="624"/>
      <c r="S8" s="624"/>
      <c r="T8" s="624"/>
      <c r="U8" s="141" t="s">
        <v>54</v>
      </c>
      <c r="V8" s="141" t="s">
        <v>54</v>
      </c>
      <c r="W8" s="141"/>
      <c r="X8" s="141"/>
      <c r="Y8" s="54" t="s">
        <v>352</v>
      </c>
    </row>
    <row r="9" spans="1:28" ht="46.5" customHeight="1" thickBot="1" x14ac:dyDescent="0.4">
      <c r="A9" s="624">
        <v>4</v>
      </c>
      <c r="B9" s="624">
        <v>5</v>
      </c>
      <c r="C9" s="624">
        <v>0.8</v>
      </c>
      <c r="D9" s="626">
        <f>(F9-F8)/C9/60</f>
        <v>6.25</v>
      </c>
      <c r="E9" s="626">
        <f t="shared" si="1"/>
        <v>45.5</v>
      </c>
      <c r="F9" s="144">
        <f t="shared" ref="F9:F17" si="2">G8-G9+F8</f>
        <v>1210</v>
      </c>
      <c r="G9" s="670">
        <v>820</v>
      </c>
      <c r="H9" s="667"/>
      <c r="I9" s="629" t="s">
        <v>69</v>
      </c>
      <c r="J9" s="624" t="s">
        <v>135</v>
      </c>
      <c r="K9" s="646" t="s">
        <v>64</v>
      </c>
      <c r="L9" s="734">
        <v>10.232699999999999</v>
      </c>
      <c r="M9" s="735"/>
      <c r="N9" s="816">
        <v>10.8733</v>
      </c>
      <c r="O9" s="817"/>
      <c r="P9" s="810">
        <f t="shared" si="0"/>
        <v>640.60000000000093</v>
      </c>
      <c r="Q9" s="811"/>
      <c r="R9" s="624"/>
      <c r="S9" s="624"/>
      <c r="T9" s="624"/>
      <c r="U9" s="213" t="s">
        <v>54</v>
      </c>
      <c r="V9" s="141" t="s">
        <v>54</v>
      </c>
      <c r="W9" s="141"/>
      <c r="X9" s="141"/>
      <c r="Y9" s="54" t="s">
        <v>352</v>
      </c>
    </row>
    <row r="10" spans="1:28" ht="46.5" customHeight="1" thickBot="1" x14ac:dyDescent="0.4">
      <c r="A10" s="624">
        <v>5</v>
      </c>
      <c r="B10" s="624">
        <v>5</v>
      </c>
      <c r="C10" s="624">
        <v>0.8</v>
      </c>
      <c r="D10" s="626">
        <f>(F10-F9)/C10/60</f>
        <v>0.41666666666666669</v>
      </c>
      <c r="E10" s="626">
        <f t="shared" si="1"/>
        <v>50.916666666666664</v>
      </c>
      <c r="F10" s="144">
        <f t="shared" si="2"/>
        <v>1230</v>
      </c>
      <c r="G10" s="670">
        <v>800</v>
      </c>
      <c r="H10" s="668"/>
      <c r="I10" s="629" t="s">
        <v>71</v>
      </c>
      <c r="J10" s="624" t="s">
        <v>131</v>
      </c>
      <c r="K10" s="646" t="s">
        <v>240</v>
      </c>
      <c r="L10" s="734">
        <v>79.959000000000003</v>
      </c>
      <c r="M10" s="735"/>
      <c r="N10" s="816">
        <v>81.221000000000004</v>
      </c>
      <c r="O10" s="817"/>
      <c r="P10" s="810">
        <f t="shared" si="0"/>
        <v>1262.0000000000005</v>
      </c>
      <c r="Q10" s="811"/>
      <c r="R10" s="141" t="s">
        <v>54</v>
      </c>
      <c r="S10" s="141" t="s">
        <v>54</v>
      </c>
      <c r="T10" s="141"/>
      <c r="U10" s="339"/>
      <c r="V10" s="624"/>
      <c r="W10" s="624"/>
      <c r="X10" s="624"/>
      <c r="Y10" s="417"/>
    </row>
    <row r="11" spans="1:28" ht="46.5" customHeight="1" thickBot="1" x14ac:dyDescent="0.4">
      <c r="A11" s="624">
        <v>6</v>
      </c>
      <c r="B11" s="624">
        <v>5</v>
      </c>
      <c r="C11" s="624">
        <v>0.8</v>
      </c>
      <c r="D11" s="626">
        <f t="shared" ref="D11:D17" si="3">(F11-F10)/C11/60</f>
        <v>8.3333333333333339</v>
      </c>
      <c r="E11" s="626">
        <f t="shared" si="1"/>
        <v>64.25</v>
      </c>
      <c r="F11" s="144">
        <f t="shared" si="2"/>
        <v>1630</v>
      </c>
      <c r="G11" s="670">
        <v>400</v>
      </c>
      <c r="H11" s="668"/>
      <c r="I11" s="629" t="s">
        <v>57</v>
      </c>
      <c r="J11" s="624" t="s">
        <v>126</v>
      </c>
      <c r="K11" s="646" t="s">
        <v>240</v>
      </c>
      <c r="L11" s="734">
        <v>35.470999999999997</v>
      </c>
      <c r="M11" s="735"/>
      <c r="N11" s="816">
        <v>36.524999999999999</v>
      </c>
      <c r="O11" s="817"/>
      <c r="P11" s="810">
        <f t="shared" si="0"/>
        <v>1054.000000000002</v>
      </c>
      <c r="Q11" s="811"/>
      <c r="R11" s="141" t="s">
        <v>54</v>
      </c>
      <c r="S11" s="141" t="s">
        <v>54</v>
      </c>
      <c r="T11" s="141"/>
      <c r="U11" s="624"/>
      <c r="V11" s="624"/>
      <c r="W11" s="624"/>
      <c r="X11" s="624"/>
      <c r="Y11" s="54"/>
    </row>
    <row r="12" spans="1:28" ht="46.5" customHeight="1" thickBot="1" x14ac:dyDescent="0.4">
      <c r="A12" s="624">
        <v>7</v>
      </c>
      <c r="B12" s="624">
        <v>5</v>
      </c>
      <c r="C12" s="624">
        <v>0.8</v>
      </c>
      <c r="D12" s="626">
        <f t="shared" si="3"/>
        <v>3.75</v>
      </c>
      <c r="E12" s="626">
        <f t="shared" si="1"/>
        <v>73</v>
      </c>
      <c r="F12" s="144">
        <f t="shared" si="2"/>
        <v>1810</v>
      </c>
      <c r="G12" s="670">
        <v>220</v>
      </c>
      <c r="H12" s="668"/>
      <c r="I12" s="629" t="s">
        <v>59</v>
      </c>
      <c r="J12" s="624" t="s">
        <v>128</v>
      </c>
      <c r="K12" s="646" t="s">
        <v>64</v>
      </c>
      <c r="L12" s="734">
        <v>40.307000000000002</v>
      </c>
      <c r="M12" s="735"/>
      <c r="N12" s="816">
        <v>40.973999999999997</v>
      </c>
      <c r="O12" s="817"/>
      <c r="P12" s="810">
        <f t="shared" ref="P12" si="4">(N12-L12)*1000</f>
        <v>666.99999999999454</v>
      </c>
      <c r="Q12" s="811"/>
      <c r="R12" s="624"/>
      <c r="S12" s="624"/>
      <c r="T12" s="624"/>
      <c r="U12" s="141" t="s">
        <v>54</v>
      </c>
      <c r="V12" s="141" t="s">
        <v>54</v>
      </c>
      <c r="W12" s="141"/>
      <c r="X12" s="141"/>
      <c r="Y12" s="672" t="s">
        <v>354</v>
      </c>
    </row>
    <row r="13" spans="1:28" ht="46.5" customHeight="1" thickBot="1" x14ac:dyDescent="0.4">
      <c r="A13" s="624">
        <v>8</v>
      </c>
      <c r="B13" s="624">
        <v>5</v>
      </c>
      <c r="C13" s="624">
        <v>0.8</v>
      </c>
      <c r="D13" s="626">
        <f t="shared" si="3"/>
        <v>0.41666666666666669</v>
      </c>
      <c r="E13" s="626">
        <f t="shared" si="1"/>
        <v>78.416666666666671</v>
      </c>
      <c r="F13" s="144">
        <f t="shared" si="2"/>
        <v>1830</v>
      </c>
      <c r="G13" s="670">
        <v>200</v>
      </c>
      <c r="H13" s="668"/>
      <c r="I13" s="670" t="s">
        <v>187</v>
      </c>
      <c r="J13" s="669" t="s">
        <v>134</v>
      </c>
      <c r="K13" s="669" t="s">
        <v>240</v>
      </c>
      <c r="L13" s="734">
        <v>84.626000000000005</v>
      </c>
      <c r="M13" s="735"/>
      <c r="N13" s="816">
        <v>85.625</v>
      </c>
      <c r="O13" s="817"/>
      <c r="P13" s="810">
        <f t="shared" si="0"/>
        <v>998.99999999999523</v>
      </c>
      <c r="Q13" s="811"/>
      <c r="R13" s="141" t="s">
        <v>54</v>
      </c>
      <c r="S13" s="141" t="s">
        <v>54</v>
      </c>
      <c r="T13" s="141"/>
      <c r="U13" s="141"/>
      <c r="V13" s="141"/>
      <c r="W13" s="213"/>
      <c r="X13" s="141"/>
      <c r="Y13" s="143"/>
    </row>
    <row r="14" spans="1:28" ht="46.5" customHeight="1" thickBot="1" x14ac:dyDescent="0.4">
      <c r="A14" s="624">
        <v>9</v>
      </c>
      <c r="B14" s="624">
        <v>5</v>
      </c>
      <c r="C14" s="624">
        <v>0.8</v>
      </c>
      <c r="D14" s="626">
        <f>(F14-F13)/C14/60</f>
        <v>0.83333333333333337</v>
      </c>
      <c r="E14" s="626">
        <f>E13+B14+D14</f>
        <v>84.25</v>
      </c>
      <c r="F14" s="144">
        <f t="shared" si="2"/>
        <v>1870</v>
      </c>
      <c r="G14" s="624">
        <v>160</v>
      </c>
      <c r="H14" s="628"/>
      <c r="I14" s="608" t="s">
        <v>58</v>
      </c>
      <c r="J14" s="670" t="s">
        <v>149</v>
      </c>
      <c r="K14" s="669" t="s">
        <v>64</v>
      </c>
      <c r="L14" s="734">
        <v>17.494</v>
      </c>
      <c r="M14" s="735"/>
      <c r="N14" s="816">
        <v>17.815000000000001</v>
      </c>
      <c r="O14" s="817"/>
      <c r="P14" s="810">
        <f t="shared" si="0"/>
        <v>321.00000000000148</v>
      </c>
      <c r="Q14" s="811"/>
      <c r="R14" s="141"/>
      <c r="S14" s="141"/>
      <c r="T14" s="141"/>
      <c r="U14" s="141" t="s">
        <v>54</v>
      </c>
      <c r="V14" s="141" t="s">
        <v>54</v>
      </c>
      <c r="W14" s="141" t="s">
        <v>54</v>
      </c>
      <c r="X14" s="624"/>
      <c r="Y14" s="673" t="s">
        <v>356</v>
      </c>
    </row>
    <row r="15" spans="1:28" ht="46.5" customHeight="1" thickBot="1" x14ac:dyDescent="0.4">
      <c r="A15" s="624">
        <v>10</v>
      </c>
      <c r="B15" s="624">
        <v>5</v>
      </c>
      <c r="C15" s="624">
        <v>0.8</v>
      </c>
      <c r="D15" s="626">
        <f t="shared" si="3"/>
        <v>0.41666666666666669</v>
      </c>
      <c r="E15" s="626">
        <f>E14+B15+D15</f>
        <v>89.666666666666671</v>
      </c>
      <c r="F15" s="144">
        <f t="shared" si="2"/>
        <v>1890</v>
      </c>
      <c r="G15" s="624">
        <v>140</v>
      </c>
      <c r="H15" s="628"/>
      <c r="I15" s="629" t="s">
        <v>61</v>
      </c>
      <c r="J15" s="624" t="s">
        <v>127</v>
      </c>
      <c r="K15" s="646" t="s">
        <v>240</v>
      </c>
      <c r="L15" s="734">
        <v>56.244999999999997</v>
      </c>
      <c r="M15" s="735"/>
      <c r="N15" s="816">
        <v>57.139000000000003</v>
      </c>
      <c r="O15" s="817"/>
      <c r="P15" s="810">
        <f t="shared" si="0"/>
        <v>894.00000000000546</v>
      </c>
      <c r="Q15" s="811"/>
      <c r="R15" s="141" t="s">
        <v>54</v>
      </c>
      <c r="S15" s="141" t="s">
        <v>54</v>
      </c>
      <c r="T15" s="141"/>
      <c r="U15" s="624"/>
      <c r="V15" s="624"/>
      <c r="W15" s="624"/>
      <c r="X15" s="624"/>
      <c r="Y15" s="54"/>
    </row>
    <row r="16" spans="1:28" ht="46.5" customHeight="1" thickBot="1" x14ac:dyDescent="0.4">
      <c r="A16" s="624">
        <v>11</v>
      </c>
      <c r="B16" s="624">
        <v>5</v>
      </c>
      <c r="C16" s="624">
        <v>0.8</v>
      </c>
      <c r="D16" s="626">
        <f t="shared" si="3"/>
        <v>0.83333333333333337</v>
      </c>
      <c r="E16" s="626">
        <f>E15+B16+D16</f>
        <v>95.5</v>
      </c>
      <c r="F16" s="144">
        <f t="shared" si="2"/>
        <v>1930</v>
      </c>
      <c r="G16" s="624">
        <v>100</v>
      </c>
      <c r="H16" s="628"/>
      <c r="I16" s="629" t="s">
        <v>67</v>
      </c>
      <c r="J16" s="640" t="s">
        <v>133</v>
      </c>
      <c r="K16" s="646" t="s">
        <v>240</v>
      </c>
      <c r="L16" s="816">
        <v>81.087999999999994</v>
      </c>
      <c r="M16" s="817"/>
      <c r="N16" s="816">
        <v>81.760000000000005</v>
      </c>
      <c r="O16" s="817"/>
      <c r="P16" s="810">
        <f t="shared" si="0"/>
        <v>672.00000000001125</v>
      </c>
      <c r="Q16" s="811"/>
      <c r="R16" s="141" t="s">
        <v>54</v>
      </c>
      <c r="S16" s="141" t="s">
        <v>54</v>
      </c>
      <c r="T16" s="141"/>
      <c r="U16" s="624"/>
      <c r="V16" s="624"/>
      <c r="W16" s="624"/>
      <c r="X16" s="624"/>
      <c r="Y16" s="416"/>
    </row>
    <row r="17" spans="1:25" ht="46.5" customHeight="1" x14ac:dyDescent="0.35">
      <c r="A17" s="806">
        <v>12</v>
      </c>
      <c r="B17" s="806">
        <v>5</v>
      </c>
      <c r="C17" s="806">
        <v>0.8</v>
      </c>
      <c r="D17" s="807">
        <f t="shared" si="3"/>
        <v>0.52083333333333337</v>
      </c>
      <c r="E17" s="807">
        <f>E16+B17+D17</f>
        <v>101.02083333333333</v>
      </c>
      <c r="F17" s="858">
        <f t="shared" si="2"/>
        <v>1955</v>
      </c>
      <c r="G17" s="902">
        <v>75</v>
      </c>
      <c r="H17" s="899"/>
      <c r="I17" s="837" t="s">
        <v>23</v>
      </c>
      <c r="J17" s="623" t="s">
        <v>150</v>
      </c>
      <c r="K17" s="645" t="s">
        <v>64</v>
      </c>
      <c r="L17" s="812">
        <v>6.306</v>
      </c>
      <c r="M17" s="813"/>
      <c r="N17" s="812">
        <v>6.6245000000000003</v>
      </c>
      <c r="O17" s="813"/>
      <c r="P17" s="888">
        <f t="shared" si="0"/>
        <v>318.50000000000023</v>
      </c>
      <c r="Q17" s="889"/>
      <c r="R17" s="623"/>
      <c r="S17" s="623"/>
      <c r="T17" s="623"/>
      <c r="U17" s="142" t="s">
        <v>54</v>
      </c>
      <c r="V17" s="142" t="s">
        <v>54</v>
      </c>
      <c r="W17" s="142" t="s">
        <v>54</v>
      </c>
      <c r="X17" s="142"/>
      <c r="Y17" s="166" t="s">
        <v>355</v>
      </c>
    </row>
    <row r="18" spans="1:25" ht="46.5" customHeight="1" x14ac:dyDescent="0.35">
      <c r="A18" s="742"/>
      <c r="B18" s="742"/>
      <c r="C18" s="742"/>
      <c r="D18" s="789"/>
      <c r="E18" s="789"/>
      <c r="F18" s="791"/>
      <c r="G18" s="903"/>
      <c r="H18" s="900"/>
      <c r="I18" s="801"/>
      <c r="J18" s="631" t="s">
        <v>151</v>
      </c>
      <c r="K18" s="643" t="s">
        <v>240</v>
      </c>
      <c r="L18" s="814">
        <v>8.0945</v>
      </c>
      <c r="M18" s="815"/>
      <c r="N18" s="814">
        <v>8.5107999999999997</v>
      </c>
      <c r="O18" s="815"/>
      <c r="P18" s="740">
        <f t="shared" si="0"/>
        <v>416.29999999999967</v>
      </c>
      <c r="Q18" s="740"/>
      <c r="R18" s="167" t="s">
        <v>54</v>
      </c>
      <c r="S18" s="167" t="s">
        <v>54</v>
      </c>
      <c r="T18" s="167"/>
      <c r="U18" s="631"/>
      <c r="V18" s="631"/>
      <c r="W18" s="631"/>
      <c r="X18" s="631"/>
      <c r="Y18" s="633"/>
    </row>
    <row r="19" spans="1:25" ht="46.5" customHeight="1" thickBot="1" x14ac:dyDescent="0.4">
      <c r="A19" s="743"/>
      <c r="B19" s="743"/>
      <c r="C19" s="743"/>
      <c r="D19" s="790"/>
      <c r="E19" s="790"/>
      <c r="F19" s="792"/>
      <c r="G19" s="904"/>
      <c r="H19" s="901"/>
      <c r="I19" s="802"/>
      <c r="J19" s="632" t="s">
        <v>179</v>
      </c>
      <c r="K19" s="644"/>
      <c r="L19" s="810">
        <v>14.219900000000001</v>
      </c>
      <c r="M19" s="811"/>
      <c r="N19" s="810">
        <v>14.954599999999999</v>
      </c>
      <c r="O19" s="811"/>
      <c r="P19" s="734">
        <f t="shared" si="0"/>
        <v>734.69999999999834</v>
      </c>
      <c r="Q19" s="735"/>
      <c r="R19" s="168"/>
      <c r="S19" s="168"/>
      <c r="T19" s="168"/>
      <c r="U19" s="632"/>
      <c r="V19" s="632"/>
      <c r="W19" s="632"/>
      <c r="X19" s="632"/>
      <c r="Y19" s="634"/>
    </row>
    <row r="20" spans="1:25" ht="46.5" customHeight="1" x14ac:dyDescent="0.35">
      <c r="A20" s="806">
        <v>13</v>
      </c>
      <c r="B20" s="806">
        <v>5</v>
      </c>
      <c r="C20" s="806">
        <v>0.8</v>
      </c>
      <c r="D20" s="807">
        <f>(F20-F17)/C20/60</f>
        <v>0.9375</v>
      </c>
      <c r="E20" s="807">
        <f>E17+B20+D20</f>
        <v>106.95833333333333</v>
      </c>
      <c r="F20" s="890">
        <f>G17-G20+F17</f>
        <v>2000</v>
      </c>
      <c r="G20" s="823">
        <v>30</v>
      </c>
      <c r="H20" s="824"/>
      <c r="I20" s="834" t="s">
        <v>27</v>
      </c>
      <c r="J20" s="625" t="s">
        <v>150</v>
      </c>
      <c r="K20" s="647" t="s">
        <v>64</v>
      </c>
      <c r="L20" s="812">
        <v>7.2552000000000003</v>
      </c>
      <c r="M20" s="813"/>
      <c r="N20" s="812">
        <v>7.3471000000000002</v>
      </c>
      <c r="O20" s="813"/>
      <c r="P20" s="888">
        <f t="shared" si="0"/>
        <v>91.899999999999864</v>
      </c>
      <c r="Q20" s="889"/>
      <c r="R20" s="625"/>
      <c r="S20" s="625"/>
      <c r="T20" s="625"/>
      <c r="U20" s="169" t="s">
        <v>54</v>
      </c>
      <c r="V20" s="169" t="s">
        <v>54</v>
      </c>
      <c r="W20" s="142" t="s">
        <v>54</v>
      </c>
      <c r="X20" s="169"/>
      <c r="Y20" s="170" t="s">
        <v>342</v>
      </c>
    </row>
    <row r="21" spans="1:25" ht="46.5" customHeight="1" x14ac:dyDescent="0.35">
      <c r="A21" s="742"/>
      <c r="B21" s="742"/>
      <c r="C21" s="742"/>
      <c r="D21" s="789"/>
      <c r="E21" s="789"/>
      <c r="F21" s="821"/>
      <c r="G21" s="740"/>
      <c r="H21" s="825"/>
      <c r="I21" s="835"/>
      <c r="J21" s="631" t="s">
        <v>151</v>
      </c>
      <c r="K21" s="643" t="s">
        <v>240</v>
      </c>
      <c r="L21" s="814">
        <v>9.6485000000000003</v>
      </c>
      <c r="M21" s="815"/>
      <c r="N21" s="814">
        <v>9.7844999999999995</v>
      </c>
      <c r="O21" s="815"/>
      <c r="P21" s="740">
        <f t="shared" si="0"/>
        <v>135.99999999999923</v>
      </c>
      <c r="Q21" s="740"/>
      <c r="R21" s="167" t="s">
        <v>54</v>
      </c>
      <c r="S21" s="167" t="s">
        <v>54</v>
      </c>
      <c r="T21" s="167"/>
      <c r="U21" s="631"/>
      <c r="V21" s="631"/>
      <c r="W21" s="631"/>
      <c r="X21" s="631"/>
      <c r="Y21" s="633"/>
    </row>
    <row r="22" spans="1:25" ht="46.5" customHeight="1" thickBot="1" x14ac:dyDescent="0.4">
      <c r="A22" s="743"/>
      <c r="B22" s="743"/>
      <c r="C22" s="743"/>
      <c r="D22" s="790"/>
      <c r="E22" s="790"/>
      <c r="F22" s="822"/>
      <c r="G22" s="741"/>
      <c r="H22" s="826"/>
      <c r="I22" s="836"/>
      <c r="J22" s="632" t="s">
        <v>179</v>
      </c>
      <c r="K22" s="644"/>
      <c r="L22" s="810">
        <v>16.5898</v>
      </c>
      <c r="M22" s="811"/>
      <c r="N22" s="810">
        <v>16.825600000000001</v>
      </c>
      <c r="O22" s="811"/>
      <c r="P22" s="734">
        <f t="shared" si="0"/>
        <v>235.80000000000112</v>
      </c>
      <c r="Q22" s="735"/>
      <c r="R22" s="168"/>
      <c r="S22" s="168"/>
      <c r="T22" s="168"/>
      <c r="U22" s="632"/>
      <c r="V22" s="632"/>
      <c r="W22" s="632"/>
      <c r="X22" s="632"/>
      <c r="Y22" s="634"/>
    </row>
    <row r="23" spans="1:25" ht="47.9" customHeight="1" thickBot="1" x14ac:dyDescent="0.6">
      <c r="A23" s="24" t="s">
        <v>10</v>
      </c>
      <c r="B23" s="630">
        <f>SUM(B6:B22)</f>
        <v>65</v>
      </c>
      <c r="C23" s="630"/>
      <c r="D23" s="639">
        <f>SUM(D6:D22)</f>
        <v>41.958333333333336</v>
      </c>
      <c r="E23" s="639">
        <f>D23+B23</f>
        <v>106.95833333333334</v>
      </c>
      <c r="F23" s="144">
        <f>G6</f>
        <v>2037</v>
      </c>
      <c r="G23" s="827" t="s">
        <v>18</v>
      </c>
      <c r="H23" s="828"/>
      <c r="I23" s="828"/>
      <c r="J23" s="22"/>
      <c r="K23" s="97" t="s">
        <v>103</v>
      </c>
      <c r="L23" s="838" t="s">
        <v>102</v>
      </c>
      <c r="M23" s="838"/>
      <c r="N23" s="838" t="s">
        <v>53</v>
      </c>
      <c r="O23" s="838"/>
    </row>
    <row r="24" spans="1:25" ht="48.75" customHeight="1" x14ac:dyDescent="0.35">
      <c r="A24" s="26" t="s">
        <v>12</v>
      </c>
      <c r="B24" s="631">
        <f>B23/60</f>
        <v>1.0833333333333333</v>
      </c>
      <c r="C24" s="631"/>
      <c r="D24" s="638">
        <f>D23/60</f>
        <v>0.69930555555555562</v>
      </c>
      <c r="E24" s="638"/>
      <c r="F24" s="27"/>
      <c r="J24" s="610" t="s">
        <v>145</v>
      </c>
      <c r="K24" s="30">
        <v>44218</v>
      </c>
      <c r="L24" s="829">
        <v>4.1666666666666664E-2</v>
      </c>
      <c r="M24" s="830"/>
      <c r="N24" s="803">
        <v>0.83333333333333337</v>
      </c>
      <c r="O24" s="803"/>
    </row>
    <row r="25" spans="1:25" ht="55.4" customHeight="1" x14ac:dyDescent="0.35">
      <c r="J25" s="96" t="s">
        <v>45</v>
      </c>
      <c r="K25" s="30">
        <v>44218</v>
      </c>
      <c r="L25" s="762">
        <v>0.13541666666666666</v>
      </c>
      <c r="M25" s="766"/>
      <c r="N25" s="765">
        <v>0.92708333333333337</v>
      </c>
      <c r="O25" s="765"/>
    </row>
    <row r="26" spans="1:25" ht="50.25" customHeight="1" x14ac:dyDescent="0.35">
      <c r="A26" s="1"/>
      <c r="B26" s="1"/>
      <c r="C26" s="1"/>
      <c r="D26" s="1"/>
      <c r="E26" s="1"/>
      <c r="F26" s="1"/>
      <c r="G26" s="1"/>
      <c r="J26" s="96" t="s">
        <v>46</v>
      </c>
      <c r="K26" s="30">
        <v>44218</v>
      </c>
      <c r="L26" s="762">
        <v>0.26041666666666669</v>
      </c>
      <c r="M26" s="766"/>
      <c r="N26" s="765">
        <v>5.2083333333333336E-2</v>
      </c>
      <c r="O26" s="765"/>
    </row>
    <row r="27" spans="1:25" ht="50.25" customHeight="1" x14ac:dyDescent="0.35">
      <c r="A27" s="805" t="s">
        <v>52</v>
      </c>
      <c r="B27" s="805"/>
      <c r="C27" s="805"/>
      <c r="D27" s="805"/>
      <c r="E27" s="805"/>
      <c r="F27" s="805"/>
      <c r="J27" s="96" t="s">
        <v>47</v>
      </c>
      <c r="K27" s="30">
        <v>44218</v>
      </c>
      <c r="L27" s="762">
        <v>0.3125</v>
      </c>
      <c r="M27" s="766"/>
      <c r="N27" s="765">
        <v>0.10416666666666667</v>
      </c>
      <c r="O27" s="765"/>
    </row>
    <row r="28" spans="1:25" ht="20" x14ac:dyDescent="0.4">
      <c r="A28" s="17" t="s">
        <v>51</v>
      </c>
      <c r="B28" s="17"/>
      <c r="C28" s="17"/>
      <c r="F28" s="22">
        <v>8</v>
      </c>
      <c r="G28" s="20" t="s">
        <v>11</v>
      </c>
      <c r="J28" s="17"/>
      <c r="K28" s="19"/>
    </row>
    <row r="29" spans="1:25" ht="60" customHeight="1" x14ac:dyDescent="0.4">
      <c r="F29" s="17"/>
      <c r="G29" s="17"/>
      <c r="J29" s="10" t="s">
        <v>50</v>
      </c>
      <c r="K29" s="31">
        <f>E20+F30</f>
        <v>116.95833333333333</v>
      </c>
    </row>
    <row r="30" spans="1:25" ht="78" customHeight="1" x14ac:dyDescent="0.4">
      <c r="A30" s="390" t="s">
        <v>243</v>
      </c>
      <c r="B30" s="418" t="s">
        <v>254</v>
      </c>
      <c r="F30" s="9">
        <v>10</v>
      </c>
      <c r="G30" s="9" t="s">
        <v>169</v>
      </c>
      <c r="H30" s="17"/>
      <c r="I30" s="15"/>
      <c r="J30" s="10" t="s">
        <v>49</v>
      </c>
      <c r="K30" s="31">
        <f>D23+B20*A20+F30</f>
        <v>116.95833333333334</v>
      </c>
    </row>
    <row r="31" spans="1:25" ht="57.75" customHeight="1" x14ac:dyDescent="0.4">
      <c r="A31" s="19"/>
      <c r="B31" s="20"/>
      <c r="C31" s="17"/>
      <c r="I31" s="9"/>
      <c r="J31" s="1"/>
      <c r="K31" s="1"/>
      <c r="L31" s="1"/>
      <c r="M31" s="2"/>
      <c r="N31" s="2"/>
    </row>
    <row r="32" spans="1:25" ht="20" x14ac:dyDescent="0.4">
      <c r="C32" s="17"/>
      <c r="D32" s="17"/>
      <c r="E32" s="17" t="s">
        <v>14</v>
      </c>
      <c r="F32" s="17"/>
      <c r="I32" s="15"/>
      <c r="J32" s="1"/>
      <c r="K32" s="1"/>
      <c r="L32" s="1"/>
      <c r="M32" s="2"/>
      <c r="N32" s="2"/>
    </row>
    <row r="33" spans="1:24" ht="20" x14ac:dyDescent="0.4">
      <c r="A33" s="19"/>
      <c r="B33" s="20"/>
      <c r="C33" s="17"/>
      <c r="D33" s="17"/>
      <c r="E33" s="23"/>
      <c r="F33" s="17"/>
      <c r="G33" s="17"/>
      <c r="H33" s="17"/>
      <c r="I33" s="15"/>
      <c r="J33" s="1"/>
      <c r="K33" s="1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20" x14ac:dyDescent="0.4">
      <c r="A34" s="19"/>
      <c r="B34" s="20"/>
      <c r="C34" s="17"/>
      <c r="D34" s="17"/>
      <c r="E34" s="17"/>
      <c r="F34" s="17"/>
      <c r="G34" s="17"/>
      <c r="H34" s="17"/>
      <c r="I34" s="15"/>
      <c r="J34" s="1"/>
      <c r="K34" s="1"/>
      <c r="L34" s="1"/>
      <c r="M34" s="2"/>
      <c r="N34" s="2"/>
    </row>
    <row r="35" spans="1:24" ht="18.5" x14ac:dyDescent="0.45">
      <c r="A35" s="16"/>
      <c r="B35" s="16"/>
      <c r="C35" s="16"/>
      <c r="D35" s="16"/>
      <c r="E35" s="16"/>
      <c r="F35" s="16"/>
      <c r="G35" s="16"/>
      <c r="H35" s="16"/>
      <c r="I35" s="16"/>
    </row>
  </sheetData>
  <mergeCells count="85">
    <mergeCell ref="L26:M26"/>
    <mergeCell ref="N26:O26"/>
    <mergeCell ref="A27:F27"/>
    <mergeCell ref="L27:M27"/>
    <mergeCell ref="N27:O27"/>
    <mergeCell ref="L25:M25"/>
    <mergeCell ref="N25:O25"/>
    <mergeCell ref="I20:I22"/>
    <mergeCell ref="L20:M20"/>
    <mergeCell ref="N20:O20"/>
    <mergeCell ref="G23:I23"/>
    <mergeCell ref="L23:M23"/>
    <mergeCell ref="N23:O23"/>
    <mergeCell ref="L24:M24"/>
    <mergeCell ref="N24:O24"/>
    <mergeCell ref="P20:Q20"/>
    <mergeCell ref="L21:M21"/>
    <mergeCell ref="N21:O21"/>
    <mergeCell ref="P21:Q21"/>
    <mergeCell ref="L22:M22"/>
    <mergeCell ref="N22:O22"/>
    <mergeCell ref="P22:Q22"/>
    <mergeCell ref="F20:F22"/>
    <mergeCell ref="G20:G22"/>
    <mergeCell ref="H20:H22"/>
    <mergeCell ref="G17:G19"/>
    <mergeCell ref="H17:H19"/>
    <mergeCell ref="A20:A22"/>
    <mergeCell ref="B20:B22"/>
    <mergeCell ref="C20:C22"/>
    <mergeCell ref="D20:D22"/>
    <mergeCell ref="E20:E22"/>
    <mergeCell ref="L18:M18"/>
    <mergeCell ref="N18:O18"/>
    <mergeCell ref="P18:Q18"/>
    <mergeCell ref="L19:M19"/>
    <mergeCell ref="A17:A19"/>
    <mergeCell ref="B17:B19"/>
    <mergeCell ref="C17:C19"/>
    <mergeCell ref="D17:D19"/>
    <mergeCell ref="E17:E19"/>
    <mergeCell ref="F17:F19"/>
    <mergeCell ref="N19:O19"/>
    <mergeCell ref="P19:Q19"/>
    <mergeCell ref="I17:I19"/>
    <mergeCell ref="L17:M17"/>
    <mergeCell ref="N17:O17"/>
    <mergeCell ref="P17:Q17"/>
    <mergeCell ref="L15:M15"/>
    <mergeCell ref="N15:O15"/>
    <mergeCell ref="P15:Q15"/>
    <mergeCell ref="L16:M16"/>
    <mergeCell ref="N16:O16"/>
    <mergeCell ref="P16:Q16"/>
    <mergeCell ref="L13:M13"/>
    <mergeCell ref="N13:O13"/>
    <mergeCell ref="P13:Q13"/>
    <mergeCell ref="L14:M14"/>
    <mergeCell ref="N14:O14"/>
    <mergeCell ref="P14:Q14"/>
    <mergeCell ref="L11:M11"/>
    <mergeCell ref="N11:O11"/>
    <mergeCell ref="P11:Q11"/>
    <mergeCell ref="L12:M12"/>
    <mergeCell ref="N12:O12"/>
    <mergeCell ref="P12:Q12"/>
    <mergeCell ref="L9:M9"/>
    <mergeCell ref="N9:O9"/>
    <mergeCell ref="P9:Q9"/>
    <mergeCell ref="L10:M10"/>
    <mergeCell ref="N10:O10"/>
    <mergeCell ref="P10:Q10"/>
    <mergeCell ref="L7:M7"/>
    <mergeCell ref="N7:O7"/>
    <mergeCell ref="P7:Q7"/>
    <mergeCell ref="L8:M8"/>
    <mergeCell ref="N8:O8"/>
    <mergeCell ref="P8:Q8"/>
    <mergeCell ref="M3:P3"/>
    <mergeCell ref="L5:M5"/>
    <mergeCell ref="N5:O5"/>
    <mergeCell ref="P5:Q5"/>
    <mergeCell ref="L6:M6"/>
    <mergeCell ref="N6:O6"/>
    <mergeCell ref="P6:Q6"/>
  </mergeCells>
  <pageMargins left="0.7" right="0.7" top="0.75" bottom="0.75" header="0.3" footer="0.3"/>
  <pageSetup paperSize="9" scale="3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5"/>
  <sheetViews>
    <sheetView topLeftCell="A2" zoomScale="40" zoomScaleNormal="40" workbookViewId="0">
      <selection activeCell="K22" sqref="K6:K22"/>
    </sheetView>
  </sheetViews>
  <sheetFormatPr defaultColWidth="11.453125" defaultRowHeight="14.5" x14ac:dyDescent="0.35"/>
  <cols>
    <col min="1" max="1" width="12.08984375" customWidth="1"/>
    <col min="2" max="2" width="13" customWidth="1"/>
    <col min="3" max="3" width="15.453125" customWidth="1"/>
    <col min="4" max="5" width="14.453125" customWidth="1"/>
    <col min="6" max="6" width="19.90625" customWidth="1"/>
    <col min="7" max="7" width="13.453125" customWidth="1"/>
    <col min="8" max="8" width="13.90625" customWidth="1"/>
    <col min="9" max="9" width="30.453125" customWidth="1"/>
    <col min="10" max="10" width="21.08984375" customWidth="1"/>
    <col min="11" max="11" width="20.90625" customWidth="1"/>
    <col min="13" max="14" width="10" customWidth="1"/>
    <col min="15" max="15" width="16.08984375" customWidth="1"/>
    <col min="16" max="16" width="15.90625" customWidth="1"/>
    <col min="17" max="17" width="11.90625" customWidth="1"/>
    <col min="18" max="18" width="66.453125" customWidth="1"/>
    <col min="19" max="19" width="10.453125" customWidth="1"/>
  </cols>
  <sheetData>
    <row r="1" spans="1:25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</row>
    <row r="2" spans="1:25" ht="41.25" customHeight="1" x14ac:dyDescent="0.65">
      <c r="A2" s="84" t="s">
        <v>36</v>
      </c>
      <c r="B2" s="83"/>
      <c r="C2" s="98" t="s">
        <v>349</v>
      </c>
      <c r="D2" s="83"/>
      <c r="H2" s="91" t="s">
        <v>96</v>
      </c>
      <c r="I2" s="423"/>
      <c r="J2" s="89" t="s">
        <v>99</v>
      </c>
      <c r="K2" s="1"/>
      <c r="L2" s="1"/>
      <c r="M2" s="2"/>
      <c r="N2" s="2"/>
      <c r="O2" s="2"/>
      <c r="P2" s="2"/>
      <c r="Q2" s="2"/>
    </row>
    <row r="3" spans="1:25" ht="30" x14ac:dyDescent="0.6">
      <c r="A3" s="119" t="s">
        <v>136</v>
      </c>
      <c r="B3" s="120"/>
      <c r="C3" s="121">
        <v>2087</v>
      </c>
      <c r="D3" s="122" t="s">
        <v>11</v>
      </c>
      <c r="E3" s="1"/>
      <c r="F3" s="1"/>
      <c r="G3" s="1"/>
      <c r="H3" s="92" t="s">
        <v>97</v>
      </c>
      <c r="I3" s="423"/>
      <c r="J3" s="89" t="s">
        <v>100</v>
      </c>
      <c r="K3" s="1"/>
      <c r="L3" s="1"/>
      <c r="M3" s="778" t="s">
        <v>146</v>
      </c>
      <c r="N3" s="779"/>
      <c r="O3" s="779"/>
      <c r="P3" s="780"/>
      <c r="Q3" s="660"/>
    </row>
    <row r="4" spans="1:25" ht="20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13" t="s">
        <v>48</v>
      </c>
    </row>
    <row r="5" spans="1:25" ht="62.5" x14ac:dyDescent="0.5">
      <c r="A5" s="11" t="s">
        <v>98</v>
      </c>
      <c r="B5" s="11" t="s">
        <v>0</v>
      </c>
      <c r="C5" s="11" t="s">
        <v>17</v>
      </c>
      <c r="D5" s="11" t="s">
        <v>1</v>
      </c>
      <c r="E5" s="11" t="s">
        <v>2</v>
      </c>
      <c r="F5" s="189" t="s">
        <v>3</v>
      </c>
      <c r="G5" s="189" t="s">
        <v>4</v>
      </c>
      <c r="H5" s="189" t="s">
        <v>5</v>
      </c>
      <c r="I5" s="190" t="s">
        <v>16</v>
      </c>
      <c r="J5" s="658" t="s">
        <v>15</v>
      </c>
      <c r="K5" s="658" t="s">
        <v>66</v>
      </c>
      <c r="L5" s="818" t="s">
        <v>143</v>
      </c>
      <c r="M5" s="819"/>
      <c r="N5" s="818" t="s">
        <v>144</v>
      </c>
      <c r="O5" s="819"/>
      <c r="P5" s="818" t="s">
        <v>8</v>
      </c>
      <c r="Q5" s="819"/>
      <c r="R5" s="53"/>
      <c r="T5" s="723">
        <f>SUM(P6:Q13,P16:Q19,P22)</f>
        <v>7738.0999999999894</v>
      </c>
    </row>
    <row r="6" spans="1:25" ht="46.5" customHeight="1" thickBot="1" x14ac:dyDescent="0.4">
      <c r="A6" s="649">
        <v>1</v>
      </c>
      <c r="B6" s="649">
        <v>5</v>
      </c>
      <c r="C6" s="649">
        <v>0.8</v>
      </c>
      <c r="D6" s="651">
        <f>ABS(F6/C6/60)</f>
        <v>0.16666666666666666</v>
      </c>
      <c r="E6" s="651">
        <f>D6+B6</f>
        <v>5.166666666666667</v>
      </c>
      <c r="F6" s="652">
        <v>-8</v>
      </c>
      <c r="G6" s="659">
        <f>C3-30</f>
        <v>2057</v>
      </c>
      <c r="H6" s="664" t="s">
        <v>244</v>
      </c>
      <c r="I6" s="653" t="s">
        <v>72</v>
      </c>
      <c r="J6" s="649" t="s">
        <v>132</v>
      </c>
      <c r="K6" s="649" t="s">
        <v>64</v>
      </c>
      <c r="L6" s="734">
        <v>104.07</v>
      </c>
      <c r="M6" s="735"/>
      <c r="N6" s="810">
        <v>104.621</v>
      </c>
      <c r="O6" s="811"/>
      <c r="P6" s="810">
        <f t="shared" ref="P6:P22" si="0">(N6-L6)*1000</f>
        <v>551.00000000000193</v>
      </c>
      <c r="Q6" s="811"/>
      <c r="R6" s="143" t="s">
        <v>367</v>
      </c>
    </row>
    <row r="7" spans="1:25" ht="46.5" customHeight="1" thickBot="1" x14ac:dyDescent="0.4">
      <c r="A7" s="649">
        <v>2</v>
      </c>
      <c r="B7" s="649">
        <v>5</v>
      </c>
      <c r="C7" s="653">
        <v>0.8</v>
      </c>
      <c r="D7" s="651">
        <f t="shared" ref="D7:D10" si="1">(F7-F6)/C7/60</f>
        <v>2.25</v>
      </c>
      <c r="E7" s="651">
        <f>E6+B7+D7</f>
        <v>12.416666666666668</v>
      </c>
      <c r="F7" s="144">
        <f>G$6-G7-$F$28+1</f>
        <v>100</v>
      </c>
      <c r="G7" s="653">
        <v>1950</v>
      </c>
      <c r="H7" s="665"/>
      <c r="I7" s="653" t="s">
        <v>351</v>
      </c>
      <c r="J7" s="653" t="s">
        <v>130</v>
      </c>
      <c r="K7" s="649" t="s">
        <v>64</v>
      </c>
      <c r="L7" s="734">
        <v>17.298999999999999</v>
      </c>
      <c r="M7" s="735"/>
      <c r="N7" s="816">
        <v>18.303000000000001</v>
      </c>
      <c r="O7" s="817"/>
      <c r="P7" s="810">
        <f t="shared" si="0"/>
        <v>1004.0000000000014</v>
      </c>
      <c r="Q7" s="811"/>
      <c r="R7" s="54" t="s">
        <v>368</v>
      </c>
    </row>
    <row r="8" spans="1:25" ht="46.5" customHeight="1" thickBot="1" x14ac:dyDescent="0.4">
      <c r="A8" s="649">
        <v>3</v>
      </c>
      <c r="B8" s="649">
        <v>5</v>
      </c>
      <c r="C8" s="653">
        <v>0.8</v>
      </c>
      <c r="D8" s="651">
        <f t="shared" si="1"/>
        <v>4.166666666666667</v>
      </c>
      <c r="E8" s="651">
        <f t="shared" ref="E8:E10" si="2">E7+B8+D8</f>
        <v>21.583333333333336</v>
      </c>
      <c r="F8" s="144">
        <f>G$7-G8+F7</f>
        <v>300</v>
      </c>
      <c r="G8" s="653">
        <v>1750</v>
      </c>
      <c r="H8" s="666"/>
      <c r="I8" s="653" t="s">
        <v>350</v>
      </c>
      <c r="J8" s="649" t="s">
        <v>129</v>
      </c>
      <c r="K8" s="649" t="s">
        <v>64</v>
      </c>
      <c r="L8" s="734">
        <v>57.82</v>
      </c>
      <c r="M8" s="735"/>
      <c r="N8" s="816">
        <v>58.521000000000001</v>
      </c>
      <c r="O8" s="817"/>
      <c r="P8" s="810">
        <f t="shared" si="0"/>
        <v>701.00000000000045</v>
      </c>
      <c r="Q8" s="811"/>
      <c r="R8" s="678" t="s">
        <v>357</v>
      </c>
    </row>
    <row r="9" spans="1:25" ht="46.5" customHeight="1" thickBot="1" x14ac:dyDescent="0.4">
      <c r="A9" s="649">
        <v>4</v>
      </c>
      <c r="B9" s="649">
        <v>5</v>
      </c>
      <c r="C9" s="649">
        <v>0.8</v>
      </c>
      <c r="D9" s="651">
        <f t="shared" si="1"/>
        <v>5.208333333333333</v>
      </c>
      <c r="E9" s="651">
        <f>E8+B9+D9</f>
        <v>31.791666666666668</v>
      </c>
      <c r="F9" s="144">
        <f t="shared" ref="F9" si="3">G8-G9+F8</f>
        <v>550</v>
      </c>
      <c r="G9" s="653">
        <v>1500</v>
      </c>
      <c r="H9" s="667"/>
      <c r="I9" s="653" t="s">
        <v>69</v>
      </c>
      <c r="J9" s="649" t="s">
        <v>135</v>
      </c>
      <c r="K9" s="649" t="s">
        <v>64</v>
      </c>
      <c r="L9" s="734">
        <v>10.873200000000001</v>
      </c>
      <c r="M9" s="735"/>
      <c r="N9" s="816">
        <v>11.6142</v>
      </c>
      <c r="O9" s="817"/>
      <c r="P9" s="810">
        <f t="shared" si="0"/>
        <v>740.99999999999966</v>
      </c>
      <c r="Q9" s="811"/>
      <c r="R9" s="678" t="s">
        <v>357</v>
      </c>
    </row>
    <row r="10" spans="1:25" ht="46.5" customHeight="1" thickBot="1" x14ac:dyDescent="0.4">
      <c r="A10" s="649">
        <v>5</v>
      </c>
      <c r="B10" s="649">
        <v>5</v>
      </c>
      <c r="C10" s="649">
        <v>0.8</v>
      </c>
      <c r="D10" s="651">
        <f t="shared" si="1"/>
        <v>10.416666666666666</v>
      </c>
      <c r="E10" s="651">
        <f t="shared" si="2"/>
        <v>47.208333333333336</v>
      </c>
      <c r="F10" s="144">
        <f>G9-G10+F9</f>
        <v>1050</v>
      </c>
      <c r="G10" s="653">
        <v>1000</v>
      </c>
      <c r="H10" s="668"/>
      <c r="I10" s="653" t="s">
        <v>71</v>
      </c>
      <c r="J10" s="649" t="s">
        <v>131</v>
      </c>
      <c r="K10" s="649" t="s">
        <v>64</v>
      </c>
      <c r="L10" s="734">
        <v>81.228999999999999</v>
      </c>
      <c r="M10" s="735"/>
      <c r="N10" s="816">
        <v>82.206999999999994</v>
      </c>
      <c r="O10" s="817"/>
      <c r="P10" s="810">
        <f t="shared" si="0"/>
        <v>977.99999999999443</v>
      </c>
      <c r="Q10" s="811"/>
      <c r="R10" s="678" t="s">
        <v>357</v>
      </c>
    </row>
    <row r="11" spans="1:25" ht="46.5" customHeight="1" thickBot="1" x14ac:dyDescent="0.4">
      <c r="A11" s="674">
        <v>6</v>
      </c>
      <c r="B11" s="674">
        <v>5</v>
      </c>
      <c r="C11" s="674">
        <v>0.8</v>
      </c>
      <c r="D11" s="675">
        <f>(F11-F10)/C11/60</f>
        <v>5.208333333333333</v>
      </c>
      <c r="E11" s="675">
        <f t="shared" ref="E11" si="4">E10+B11+D11</f>
        <v>57.416666666666671</v>
      </c>
      <c r="F11" s="144">
        <f>G10-G11+F10</f>
        <v>1300</v>
      </c>
      <c r="G11" s="674">
        <v>750</v>
      </c>
      <c r="H11" s="676" t="s">
        <v>358</v>
      </c>
      <c r="I11" s="608" t="s">
        <v>58</v>
      </c>
      <c r="J11" s="677" t="s">
        <v>149</v>
      </c>
      <c r="K11" s="674" t="s">
        <v>64</v>
      </c>
      <c r="L11" s="734">
        <v>17.815000000000001</v>
      </c>
      <c r="M11" s="735"/>
      <c r="N11" s="816">
        <v>17.849</v>
      </c>
      <c r="O11" s="817"/>
      <c r="P11" s="810">
        <f t="shared" ref="P11" si="5">(N11-L11)*1000</f>
        <v>33.99999999999892</v>
      </c>
      <c r="Q11" s="811"/>
      <c r="R11" s="681" t="s">
        <v>360</v>
      </c>
      <c r="S11" s="619"/>
      <c r="T11" s="619"/>
      <c r="U11" s="619"/>
      <c r="V11" s="619"/>
      <c r="W11" s="619"/>
      <c r="X11" s="22"/>
      <c r="Y11" s="679"/>
    </row>
    <row r="12" spans="1:25" ht="46.5" customHeight="1" thickBot="1" x14ac:dyDescent="0.4">
      <c r="A12" s="649">
        <v>7</v>
      </c>
      <c r="B12" s="649">
        <v>5</v>
      </c>
      <c r="C12" s="674">
        <v>0.8</v>
      </c>
      <c r="D12" s="675">
        <f>(F12-F11)/C12/60</f>
        <v>5.208333333333333</v>
      </c>
      <c r="E12" s="675">
        <f>E11+B12+D12</f>
        <v>67.625</v>
      </c>
      <c r="F12" s="144">
        <f>G11-G12+F11</f>
        <v>1550</v>
      </c>
      <c r="G12" s="653">
        <v>500</v>
      </c>
      <c r="H12" s="668"/>
      <c r="I12" s="653" t="s">
        <v>57</v>
      </c>
      <c r="J12" s="649" t="s">
        <v>126</v>
      </c>
      <c r="K12" s="649" t="s">
        <v>64</v>
      </c>
      <c r="L12" s="734">
        <v>36.526000000000003</v>
      </c>
      <c r="M12" s="735"/>
      <c r="N12" s="816">
        <v>37.298000000000002</v>
      </c>
      <c r="O12" s="817"/>
      <c r="P12" s="810">
        <f t="shared" si="0"/>
        <v>771.99999999999841</v>
      </c>
      <c r="Q12" s="811"/>
      <c r="R12" s="680" t="s">
        <v>361</v>
      </c>
    </row>
    <row r="13" spans="1:25" ht="46.5" customHeight="1" thickBot="1" x14ac:dyDescent="0.4">
      <c r="A13" s="649">
        <v>8</v>
      </c>
      <c r="B13" s="649">
        <v>5</v>
      </c>
      <c r="C13" s="649">
        <v>0.8</v>
      </c>
      <c r="D13" s="651">
        <f>(F13-F12)/C13/60</f>
        <v>5.625</v>
      </c>
      <c r="E13" s="651">
        <f>E12+B13+D13</f>
        <v>78.25</v>
      </c>
      <c r="F13" s="144">
        <f>G12-G13+F12</f>
        <v>1820</v>
      </c>
      <c r="G13" s="653">
        <v>230</v>
      </c>
      <c r="H13" s="668"/>
      <c r="I13" s="653" t="s">
        <v>59</v>
      </c>
      <c r="J13" s="649" t="s">
        <v>128</v>
      </c>
      <c r="K13" s="649" t="s">
        <v>64</v>
      </c>
      <c r="L13" s="734">
        <v>40.975000000000001</v>
      </c>
      <c r="M13" s="735"/>
      <c r="N13" s="816">
        <v>41.845999999999997</v>
      </c>
      <c r="O13" s="817"/>
      <c r="P13" s="810">
        <f t="shared" si="0"/>
        <v>870.99999999999511</v>
      </c>
      <c r="Q13" s="811"/>
      <c r="R13" s="700" t="s">
        <v>362</v>
      </c>
    </row>
    <row r="14" spans="1:25" ht="46.5" customHeight="1" thickBot="1" x14ac:dyDescent="0.4">
      <c r="A14" s="806">
        <v>9</v>
      </c>
      <c r="B14" s="806">
        <v>5</v>
      </c>
      <c r="C14" s="806">
        <v>0.8</v>
      </c>
      <c r="D14" s="807">
        <f>(F14-F13)/C14/60</f>
        <v>1.6666666666666667</v>
      </c>
      <c r="E14" s="807">
        <f>E13+B14+D14</f>
        <v>84.916666666666671</v>
      </c>
      <c r="F14" s="890">
        <f>G13-G14+F13</f>
        <v>1900</v>
      </c>
      <c r="G14" s="837">
        <v>150</v>
      </c>
      <c r="H14" s="899"/>
      <c r="I14" s="837" t="s">
        <v>23</v>
      </c>
      <c r="J14" s="648" t="s">
        <v>150</v>
      </c>
      <c r="K14" s="648" t="s">
        <v>64</v>
      </c>
      <c r="L14" s="812">
        <v>6.6246999999999998</v>
      </c>
      <c r="M14" s="813"/>
      <c r="N14" s="812">
        <v>7.3739999999999997</v>
      </c>
      <c r="O14" s="813"/>
      <c r="P14" s="888">
        <f t="shared" si="0"/>
        <v>749.29999999999984</v>
      </c>
      <c r="Q14" s="889"/>
      <c r="R14" s="700" t="s">
        <v>363</v>
      </c>
    </row>
    <row r="15" spans="1:25" ht="46.5" customHeight="1" x14ac:dyDescent="0.35">
      <c r="A15" s="742"/>
      <c r="B15" s="742"/>
      <c r="C15" s="742"/>
      <c r="D15" s="789"/>
      <c r="E15" s="789"/>
      <c r="F15" s="821"/>
      <c r="G15" s="801"/>
      <c r="H15" s="900"/>
      <c r="I15" s="801"/>
      <c r="J15" s="655" t="s">
        <v>151</v>
      </c>
      <c r="K15" s="655" t="s">
        <v>64</v>
      </c>
      <c r="L15" s="814">
        <v>8.5109999999999992</v>
      </c>
      <c r="M15" s="815"/>
      <c r="N15" s="814">
        <v>8.5519999999999996</v>
      </c>
      <c r="O15" s="815"/>
      <c r="P15" s="740">
        <f t="shared" si="0"/>
        <v>41.000000000000369</v>
      </c>
      <c r="Q15" s="740"/>
      <c r="R15" s="678" t="s">
        <v>359</v>
      </c>
    </row>
    <row r="16" spans="1:25" ht="46.5" customHeight="1" thickBot="1" x14ac:dyDescent="0.4">
      <c r="A16" s="743"/>
      <c r="B16" s="743"/>
      <c r="C16" s="743"/>
      <c r="D16" s="790"/>
      <c r="E16" s="790"/>
      <c r="F16" s="822"/>
      <c r="G16" s="802"/>
      <c r="H16" s="901"/>
      <c r="I16" s="802"/>
      <c r="J16" s="656" t="s">
        <v>179</v>
      </c>
      <c r="K16" s="649"/>
      <c r="L16" s="810">
        <v>14.954700000000001</v>
      </c>
      <c r="M16" s="811"/>
      <c r="N16" s="810">
        <v>15.705399999999999</v>
      </c>
      <c r="O16" s="811"/>
      <c r="P16" s="734">
        <f t="shared" si="0"/>
        <v>750.69999999999834</v>
      </c>
      <c r="Q16" s="735"/>
      <c r="R16" s="657"/>
    </row>
    <row r="17" spans="1:18" ht="46.5" customHeight="1" thickBot="1" x14ac:dyDescent="0.4">
      <c r="A17" s="649">
        <v>10</v>
      </c>
      <c r="B17" s="649">
        <v>5</v>
      </c>
      <c r="C17" s="649">
        <v>0.8</v>
      </c>
      <c r="D17" s="651">
        <f>(F17-F14)/C17/60</f>
        <v>1.0416666666666667</v>
      </c>
      <c r="E17" s="651">
        <f>E14+B17+D17</f>
        <v>90.958333333333343</v>
      </c>
      <c r="F17" s="144">
        <f>G14-G17+F14</f>
        <v>1950</v>
      </c>
      <c r="G17" s="653">
        <v>100</v>
      </c>
      <c r="H17" s="668"/>
      <c r="I17" s="653" t="s">
        <v>187</v>
      </c>
      <c r="J17" s="649" t="s">
        <v>134</v>
      </c>
      <c r="K17" s="649" t="s">
        <v>64</v>
      </c>
      <c r="L17" s="734">
        <v>185.625</v>
      </c>
      <c r="M17" s="735"/>
      <c r="N17" s="816">
        <v>185.999</v>
      </c>
      <c r="O17" s="817"/>
      <c r="P17" s="810">
        <f>(N17-L17)*1000</f>
        <v>373.99999999999523</v>
      </c>
      <c r="Q17" s="811"/>
      <c r="R17" s="700" t="s">
        <v>364</v>
      </c>
    </row>
    <row r="18" spans="1:18" ht="46.5" customHeight="1" thickBot="1" x14ac:dyDescent="0.4">
      <c r="A18" s="649">
        <v>11</v>
      </c>
      <c r="B18" s="649">
        <v>5</v>
      </c>
      <c r="C18" s="649">
        <v>0.8</v>
      </c>
      <c r="D18" s="651">
        <f>(F18-F17)/C18/60</f>
        <v>0.72916666666666663</v>
      </c>
      <c r="E18" s="651">
        <f>E17+B18+D18</f>
        <v>96.687500000000014</v>
      </c>
      <c r="F18" s="144">
        <f>G17-G18+F17</f>
        <v>1985</v>
      </c>
      <c r="G18" s="653">
        <v>65</v>
      </c>
      <c r="H18" s="668" t="s">
        <v>328</v>
      </c>
      <c r="I18" s="653" t="s">
        <v>61</v>
      </c>
      <c r="J18" s="649" t="s">
        <v>127</v>
      </c>
      <c r="K18" s="649" t="s">
        <v>64</v>
      </c>
      <c r="L18" s="734">
        <v>57.14</v>
      </c>
      <c r="M18" s="735"/>
      <c r="N18" s="816">
        <v>57.427</v>
      </c>
      <c r="O18" s="817"/>
      <c r="P18" s="810">
        <f>(N18-L18)*1000</f>
        <v>286.99999999999903</v>
      </c>
      <c r="Q18" s="811"/>
      <c r="R18" s="700" t="s">
        <v>365</v>
      </c>
    </row>
    <row r="19" spans="1:18" ht="46.5" customHeight="1" thickBot="1" x14ac:dyDescent="0.4">
      <c r="A19" s="649">
        <v>12</v>
      </c>
      <c r="B19" s="649">
        <v>5</v>
      </c>
      <c r="C19" s="649">
        <v>0.8</v>
      </c>
      <c r="D19" s="651">
        <f>(F19-F18)/C19/60</f>
        <v>0.52083333333333337</v>
      </c>
      <c r="E19" s="651">
        <f>E18+B19+D19</f>
        <v>102.20833333333334</v>
      </c>
      <c r="F19" s="144">
        <f>G18-G19+F18</f>
        <v>2010</v>
      </c>
      <c r="G19" s="653">
        <v>40</v>
      </c>
      <c r="H19" s="668"/>
      <c r="I19" s="653" t="s">
        <v>67</v>
      </c>
      <c r="J19" s="663" t="s">
        <v>133</v>
      </c>
      <c r="K19" s="649" t="s">
        <v>64</v>
      </c>
      <c r="L19" s="816">
        <v>81.762</v>
      </c>
      <c r="M19" s="817"/>
      <c r="N19" s="816">
        <v>82.046000000000006</v>
      </c>
      <c r="O19" s="817"/>
      <c r="P19" s="810">
        <f>(N19-L19)*1000</f>
        <v>284.00000000000603</v>
      </c>
      <c r="Q19" s="811"/>
      <c r="R19" s="678" t="s">
        <v>366</v>
      </c>
    </row>
    <row r="20" spans="1:18" ht="46.5" customHeight="1" thickBot="1" x14ac:dyDescent="0.4">
      <c r="A20" s="806">
        <v>13</v>
      </c>
      <c r="B20" s="806">
        <v>5</v>
      </c>
      <c r="C20" s="806">
        <v>0.8</v>
      </c>
      <c r="D20" s="807">
        <f>(F20-F19)/C20/60</f>
        <v>0.41666666666666669</v>
      </c>
      <c r="E20" s="807">
        <f>E19+B20+D20</f>
        <v>107.62500000000001</v>
      </c>
      <c r="F20" s="890">
        <f>G19-G20+F19</f>
        <v>2030</v>
      </c>
      <c r="G20" s="854">
        <v>20</v>
      </c>
      <c r="H20" s="905"/>
      <c r="I20" s="834" t="s">
        <v>27</v>
      </c>
      <c r="J20" s="650" t="s">
        <v>150</v>
      </c>
      <c r="K20" s="650" t="s">
        <v>64</v>
      </c>
      <c r="L20" s="812">
        <v>7.3472999999999997</v>
      </c>
      <c r="M20" s="813"/>
      <c r="N20" s="812">
        <v>7.5279999999999996</v>
      </c>
      <c r="O20" s="813"/>
      <c r="P20" s="888">
        <f t="shared" si="0"/>
        <v>180.69999999999987</v>
      </c>
      <c r="Q20" s="889"/>
      <c r="R20" s="678" t="s">
        <v>357</v>
      </c>
    </row>
    <row r="21" spans="1:18" ht="46.5" customHeight="1" x14ac:dyDescent="0.35">
      <c r="A21" s="742"/>
      <c r="B21" s="742"/>
      <c r="C21" s="742"/>
      <c r="D21" s="789"/>
      <c r="E21" s="789"/>
      <c r="F21" s="821"/>
      <c r="G21" s="737"/>
      <c r="H21" s="906"/>
      <c r="I21" s="835"/>
      <c r="J21" s="655" t="s">
        <v>151</v>
      </c>
      <c r="K21" s="655" t="s">
        <v>64</v>
      </c>
      <c r="L21" s="814">
        <v>9.7848000000000006</v>
      </c>
      <c r="M21" s="815"/>
      <c r="N21" s="814">
        <v>9.9974000000000007</v>
      </c>
      <c r="O21" s="815"/>
      <c r="P21" s="740">
        <f t="shared" si="0"/>
        <v>212.60000000000014</v>
      </c>
      <c r="Q21" s="740"/>
      <c r="R21" s="678" t="s">
        <v>357</v>
      </c>
    </row>
    <row r="22" spans="1:18" ht="46.5" customHeight="1" thickBot="1" x14ac:dyDescent="0.4">
      <c r="A22" s="743"/>
      <c r="B22" s="743"/>
      <c r="C22" s="743"/>
      <c r="D22" s="790"/>
      <c r="E22" s="790"/>
      <c r="F22" s="822"/>
      <c r="G22" s="738"/>
      <c r="H22" s="907"/>
      <c r="I22" s="836"/>
      <c r="J22" s="656" t="s">
        <v>179</v>
      </c>
      <c r="K22" s="649"/>
      <c r="L22" s="810">
        <v>16.825600000000001</v>
      </c>
      <c r="M22" s="811"/>
      <c r="N22" s="810">
        <v>17.216000000000001</v>
      </c>
      <c r="O22" s="811"/>
      <c r="P22" s="734">
        <f t="shared" si="0"/>
        <v>390.39999999999964</v>
      </c>
      <c r="Q22" s="735"/>
      <c r="R22" s="657"/>
    </row>
    <row r="23" spans="1:18" ht="47.9" customHeight="1" thickBot="1" x14ac:dyDescent="0.6">
      <c r="A23" s="24" t="s">
        <v>10</v>
      </c>
      <c r="B23" s="654">
        <f>SUM(B6:B22)</f>
        <v>65</v>
      </c>
      <c r="C23" s="654"/>
      <c r="D23" s="662">
        <f>SUM(D6:D22)</f>
        <v>42.624999999999993</v>
      </c>
      <c r="E23" s="662">
        <f>D23+B23</f>
        <v>107.625</v>
      </c>
      <c r="F23" s="144">
        <f>G6</f>
        <v>2057</v>
      </c>
      <c r="G23" s="827" t="s">
        <v>18</v>
      </c>
      <c r="H23" s="828"/>
      <c r="I23" s="828"/>
      <c r="J23" s="22"/>
      <c r="K23" s="97" t="s">
        <v>103</v>
      </c>
      <c r="L23" s="838" t="s">
        <v>102</v>
      </c>
      <c r="M23" s="838"/>
      <c r="N23" s="838" t="s">
        <v>53</v>
      </c>
      <c r="O23" s="838"/>
    </row>
    <row r="24" spans="1:18" ht="48.75" customHeight="1" x14ac:dyDescent="0.35">
      <c r="A24" s="26" t="s">
        <v>12</v>
      </c>
      <c r="B24" s="655">
        <f>B23/60</f>
        <v>1.0833333333333333</v>
      </c>
      <c r="C24" s="655"/>
      <c r="D24" s="661">
        <f>D23/60</f>
        <v>0.71041666666666659</v>
      </c>
      <c r="E24" s="661"/>
      <c r="F24" s="27"/>
      <c r="J24" s="610" t="s">
        <v>145</v>
      </c>
      <c r="K24" s="30">
        <v>44218</v>
      </c>
      <c r="L24" s="829">
        <v>0.66666666666666663</v>
      </c>
      <c r="M24" s="830"/>
      <c r="N24" s="803">
        <v>0.45833333333333331</v>
      </c>
      <c r="O24" s="803"/>
    </row>
    <row r="25" spans="1:18" ht="55.4" customHeight="1" x14ac:dyDescent="0.35">
      <c r="J25" s="96" t="s">
        <v>45</v>
      </c>
      <c r="K25" s="30">
        <v>44218</v>
      </c>
      <c r="L25" s="762">
        <v>0.73958333333333337</v>
      </c>
      <c r="M25" s="766"/>
      <c r="N25" s="765">
        <v>0.53125</v>
      </c>
      <c r="O25" s="765"/>
    </row>
    <row r="26" spans="1:18" ht="50.25" customHeight="1" x14ac:dyDescent="0.35">
      <c r="A26" s="1"/>
      <c r="B26" s="1"/>
      <c r="C26" s="1"/>
      <c r="D26" s="1"/>
      <c r="E26" s="1"/>
      <c r="F26" s="1"/>
      <c r="G26" s="1"/>
      <c r="J26" s="96" t="s">
        <v>46</v>
      </c>
      <c r="K26" s="30">
        <v>44218</v>
      </c>
      <c r="L26" s="762">
        <v>0.86458333333333337</v>
      </c>
      <c r="M26" s="766"/>
      <c r="N26" s="765">
        <v>0.65625</v>
      </c>
      <c r="O26" s="765"/>
    </row>
    <row r="27" spans="1:18" ht="50.25" customHeight="1" x14ac:dyDescent="0.35">
      <c r="A27" s="805" t="s">
        <v>52</v>
      </c>
      <c r="B27" s="805"/>
      <c r="C27" s="805"/>
      <c r="D27" s="805"/>
      <c r="E27" s="805"/>
      <c r="F27" s="805"/>
      <c r="J27" s="96" t="s">
        <v>47</v>
      </c>
      <c r="K27" s="30">
        <v>44218</v>
      </c>
      <c r="L27" s="762"/>
      <c r="M27" s="766"/>
      <c r="N27" s="765"/>
      <c r="O27" s="765"/>
    </row>
    <row r="28" spans="1:18" ht="20" x14ac:dyDescent="0.4">
      <c r="A28" s="17" t="s">
        <v>51</v>
      </c>
      <c r="B28" s="17"/>
      <c r="C28" s="17"/>
      <c r="F28" s="22">
        <v>8</v>
      </c>
      <c r="G28" s="20" t="s">
        <v>11</v>
      </c>
      <c r="J28" s="17"/>
      <c r="K28" s="19"/>
    </row>
    <row r="29" spans="1:18" ht="60" customHeight="1" x14ac:dyDescent="0.4">
      <c r="F29" s="17"/>
      <c r="G29" s="17"/>
      <c r="J29" s="10" t="s">
        <v>50</v>
      </c>
      <c r="K29" s="31">
        <f>E20+F30</f>
        <v>117.62500000000001</v>
      </c>
    </row>
    <row r="30" spans="1:18" ht="78" customHeight="1" x14ac:dyDescent="0.4">
      <c r="A30" s="390" t="s">
        <v>243</v>
      </c>
      <c r="B30" s="418"/>
      <c r="F30" s="9">
        <v>10</v>
      </c>
      <c r="G30" s="9" t="s">
        <v>169</v>
      </c>
      <c r="H30" s="17"/>
      <c r="I30" s="15"/>
      <c r="J30" s="10" t="s">
        <v>49</v>
      </c>
      <c r="K30" s="31">
        <f>D23+B20*A20+F30</f>
        <v>117.625</v>
      </c>
    </row>
    <row r="31" spans="1:18" ht="57.75" customHeight="1" x14ac:dyDescent="0.4">
      <c r="A31" s="19"/>
      <c r="B31" s="20"/>
      <c r="C31" s="17"/>
      <c r="I31" s="9"/>
      <c r="J31" s="1"/>
      <c r="K31" s="1"/>
      <c r="L31" s="1"/>
      <c r="M31" s="2"/>
      <c r="N31" s="2"/>
    </row>
    <row r="32" spans="1:18" ht="20" x14ac:dyDescent="0.4">
      <c r="C32" s="17"/>
      <c r="D32" s="17"/>
      <c r="E32" s="17" t="s">
        <v>14</v>
      </c>
      <c r="F32" s="17"/>
      <c r="I32" s="15"/>
      <c r="J32" s="1"/>
      <c r="K32" s="1"/>
      <c r="L32" s="1"/>
      <c r="M32" s="2"/>
      <c r="N32" s="2"/>
    </row>
    <row r="33" spans="1:17" ht="20" x14ac:dyDescent="0.4">
      <c r="A33" s="19"/>
      <c r="B33" s="20"/>
      <c r="C33" s="17"/>
      <c r="D33" s="17"/>
      <c r="E33" s="23"/>
      <c r="F33" s="17"/>
      <c r="G33" s="17"/>
      <c r="H33" s="17"/>
      <c r="I33" s="15"/>
      <c r="J33" s="1"/>
      <c r="K33" s="1"/>
      <c r="L33" s="1"/>
      <c r="M33" s="2"/>
      <c r="N33" s="2"/>
      <c r="O33" s="2"/>
      <c r="P33" s="2"/>
      <c r="Q33" s="2"/>
    </row>
    <row r="34" spans="1:17" ht="20" x14ac:dyDescent="0.4">
      <c r="A34" s="19"/>
      <c r="B34" s="20"/>
      <c r="C34" s="17"/>
      <c r="D34" s="17"/>
      <c r="E34" s="17"/>
      <c r="F34" s="17"/>
      <c r="G34" s="17"/>
      <c r="H34" s="17"/>
      <c r="I34" s="15"/>
      <c r="J34" s="1"/>
      <c r="K34" s="1"/>
      <c r="L34" s="1"/>
      <c r="M34" s="2"/>
      <c r="N34" s="2"/>
    </row>
    <row r="35" spans="1:17" ht="18.5" x14ac:dyDescent="0.45">
      <c r="A35" s="16"/>
      <c r="B35" s="16"/>
      <c r="C35" s="16"/>
      <c r="D35" s="16"/>
      <c r="E35" s="16"/>
      <c r="F35" s="16"/>
      <c r="G35" s="16"/>
      <c r="H35" s="16"/>
      <c r="I35" s="16"/>
    </row>
  </sheetData>
  <mergeCells count="85">
    <mergeCell ref="L11:M11"/>
    <mergeCell ref="N11:O11"/>
    <mergeCell ref="P11:Q11"/>
    <mergeCell ref="L26:M26"/>
    <mergeCell ref="N26:O26"/>
    <mergeCell ref="L24:M24"/>
    <mergeCell ref="N24:O24"/>
    <mergeCell ref="P20:Q20"/>
    <mergeCell ref="P21:Q21"/>
    <mergeCell ref="P22:Q22"/>
    <mergeCell ref="N16:O16"/>
    <mergeCell ref="P16:Q16"/>
    <mergeCell ref="L18:M18"/>
    <mergeCell ref="N18:O18"/>
    <mergeCell ref="P18:Q18"/>
    <mergeCell ref="L19:M19"/>
    <mergeCell ref="A27:F27"/>
    <mergeCell ref="L27:M27"/>
    <mergeCell ref="N27:O27"/>
    <mergeCell ref="L25:M25"/>
    <mergeCell ref="N25:O25"/>
    <mergeCell ref="I20:I22"/>
    <mergeCell ref="L20:M20"/>
    <mergeCell ref="N20:O20"/>
    <mergeCell ref="G23:I23"/>
    <mergeCell ref="L23:M23"/>
    <mergeCell ref="N23:O23"/>
    <mergeCell ref="L21:M21"/>
    <mergeCell ref="N21:O21"/>
    <mergeCell ref="L22:M22"/>
    <mergeCell ref="N22:O22"/>
    <mergeCell ref="F20:F22"/>
    <mergeCell ref="G20:G22"/>
    <mergeCell ref="H20:H22"/>
    <mergeCell ref="G14:G16"/>
    <mergeCell ref="H14:H16"/>
    <mergeCell ref="F14:F16"/>
    <mergeCell ref="A20:A22"/>
    <mergeCell ref="B20:B22"/>
    <mergeCell ref="C20:C22"/>
    <mergeCell ref="D20:D22"/>
    <mergeCell ref="E20:E22"/>
    <mergeCell ref="I14:I16"/>
    <mergeCell ref="L14:M14"/>
    <mergeCell ref="N14:O14"/>
    <mergeCell ref="P14:Q14"/>
    <mergeCell ref="A14:A16"/>
    <mergeCell ref="B14:B16"/>
    <mergeCell ref="C14:C16"/>
    <mergeCell ref="D14:D16"/>
    <mergeCell ref="E14:E16"/>
    <mergeCell ref="L15:M15"/>
    <mergeCell ref="N15:O15"/>
    <mergeCell ref="P15:Q15"/>
    <mergeCell ref="L16:M16"/>
    <mergeCell ref="N19:O19"/>
    <mergeCell ref="P19:Q19"/>
    <mergeCell ref="L17:M17"/>
    <mergeCell ref="N17:O17"/>
    <mergeCell ref="P17:Q17"/>
    <mergeCell ref="L12:M12"/>
    <mergeCell ref="N12:O12"/>
    <mergeCell ref="P12:Q12"/>
    <mergeCell ref="L13:M13"/>
    <mergeCell ref="N13:O13"/>
    <mergeCell ref="P13:Q13"/>
    <mergeCell ref="L9:M9"/>
    <mergeCell ref="N9:O9"/>
    <mergeCell ref="P9:Q9"/>
    <mergeCell ref="L10:M10"/>
    <mergeCell ref="N10:O10"/>
    <mergeCell ref="P10:Q10"/>
    <mergeCell ref="L7:M7"/>
    <mergeCell ref="N7:O7"/>
    <mergeCell ref="P7:Q7"/>
    <mergeCell ref="L8:M8"/>
    <mergeCell ref="N8:O8"/>
    <mergeCell ref="P8:Q8"/>
    <mergeCell ref="M3:P3"/>
    <mergeCell ref="L5:M5"/>
    <mergeCell ref="N5:O5"/>
    <mergeCell ref="P5:Q5"/>
    <mergeCell ref="L6:M6"/>
    <mergeCell ref="N6:O6"/>
    <mergeCell ref="P6:Q6"/>
  </mergeCells>
  <pageMargins left="0.7" right="0.7" top="0.75" bottom="0.75" header="0.3" footer="0.3"/>
  <pageSetup paperSize="9" scale="3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9"/>
  <sheetViews>
    <sheetView tabSelected="1" topLeftCell="A5" zoomScale="30" zoomScaleNormal="30" workbookViewId="0">
      <selection activeCell="K19" sqref="K19"/>
    </sheetView>
  </sheetViews>
  <sheetFormatPr defaultColWidth="11.453125" defaultRowHeight="14.5" x14ac:dyDescent="0.35"/>
  <cols>
    <col min="1" max="1" width="12.08984375" customWidth="1"/>
    <col min="2" max="2" width="13" customWidth="1"/>
    <col min="3" max="3" width="15.453125" customWidth="1"/>
    <col min="4" max="5" width="14.453125" customWidth="1"/>
    <col min="6" max="6" width="19.90625" customWidth="1"/>
    <col min="7" max="7" width="13.453125" customWidth="1"/>
    <col min="8" max="8" width="13.90625" customWidth="1"/>
    <col min="9" max="9" width="14" customWidth="1"/>
    <col min="10" max="10" width="21.08984375" customWidth="1"/>
    <col min="11" max="11" width="21.453125" customWidth="1"/>
    <col min="12" max="12" width="18" customWidth="1"/>
    <col min="13" max="13" width="20.90625" customWidth="1"/>
    <col min="14" max="14" width="28.453125" customWidth="1"/>
    <col min="15" max="15" width="19" customWidth="1"/>
    <col min="16" max="26" width="9.08984375" customWidth="1"/>
    <col min="27" max="27" width="102.08984375" bestFit="1" customWidth="1"/>
    <col min="28" max="28" width="10.453125" customWidth="1"/>
    <col min="29" max="29" width="10.453125" bestFit="1" customWidth="1"/>
    <col min="30" max="30" width="34.453125" customWidth="1"/>
  </cols>
  <sheetData>
    <row r="1" spans="1:31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</row>
    <row r="2" spans="1:31" ht="32.5" x14ac:dyDescent="0.65">
      <c r="A2" s="84" t="s">
        <v>36</v>
      </c>
      <c r="B2" s="83"/>
      <c r="C2" s="98" t="s">
        <v>370</v>
      </c>
      <c r="D2" s="83"/>
      <c r="H2" s="91" t="s">
        <v>96</v>
      </c>
      <c r="I2" s="193"/>
      <c r="J2" s="342"/>
      <c r="K2" s="89" t="s">
        <v>99</v>
      </c>
      <c r="L2" s="1"/>
      <c r="M2" s="2"/>
      <c r="N2" s="2"/>
      <c r="O2" s="2"/>
    </row>
    <row r="3" spans="1:31" ht="30.5" x14ac:dyDescent="0.65">
      <c r="A3" s="119" t="s">
        <v>136</v>
      </c>
      <c r="B3" s="120"/>
      <c r="C3" s="121">
        <v>520</v>
      </c>
      <c r="D3" s="122" t="s">
        <v>11</v>
      </c>
      <c r="E3" s="1"/>
      <c r="F3" s="1"/>
      <c r="G3" s="1"/>
      <c r="H3" s="92" t="s">
        <v>97</v>
      </c>
      <c r="I3" s="193"/>
      <c r="J3" s="342"/>
      <c r="K3" s="89" t="s">
        <v>100</v>
      </c>
      <c r="L3" s="1"/>
      <c r="M3" s="880"/>
      <c r="N3" s="880"/>
      <c r="O3" s="880"/>
      <c r="AD3" s="691"/>
      <c r="AE3" s="22"/>
    </row>
    <row r="4" spans="1:31" ht="28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Q4" s="778" t="s">
        <v>38</v>
      </c>
      <c r="R4" s="779"/>
      <c r="S4" s="780"/>
      <c r="T4" s="781" t="s">
        <v>43</v>
      </c>
      <c r="U4" s="782"/>
      <c r="V4" s="782"/>
      <c r="W4" s="782"/>
      <c r="X4" s="783"/>
      <c r="Y4" s="687"/>
      <c r="Z4" s="687"/>
      <c r="AA4" s="13" t="s">
        <v>48</v>
      </c>
    </row>
    <row r="5" spans="1:31" ht="63" thickBot="1" x14ac:dyDescent="0.4">
      <c r="A5" s="701" t="s">
        <v>98</v>
      </c>
      <c r="B5" s="701" t="s">
        <v>0</v>
      </c>
      <c r="C5" s="701" t="s">
        <v>17</v>
      </c>
      <c r="D5" s="701" t="s">
        <v>1</v>
      </c>
      <c r="E5" s="701" t="s">
        <v>2</v>
      </c>
      <c r="F5" s="702" t="s">
        <v>3</v>
      </c>
      <c r="G5" s="703" t="s">
        <v>4</v>
      </c>
      <c r="H5" s="703" t="s">
        <v>5</v>
      </c>
      <c r="I5" s="704" t="s">
        <v>16</v>
      </c>
      <c r="J5" s="705" t="s">
        <v>15</v>
      </c>
      <c r="K5" s="705" t="s">
        <v>66</v>
      </c>
      <c r="L5" s="910" t="s">
        <v>143</v>
      </c>
      <c r="M5" s="911"/>
      <c r="N5" s="704" t="s">
        <v>144</v>
      </c>
      <c r="O5" s="701" t="s">
        <v>8</v>
      </c>
      <c r="P5" s="701" t="s">
        <v>137</v>
      </c>
      <c r="Q5" s="706" t="s">
        <v>42</v>
      </c>
      <c r="R5" s="706" t="s">
        <v>37</v>
      </c>
      <c r="S5" s="706" t="s">
        <v>44</v>
      </c>
      <c r="T5" s="225" t="s">
        <v>41</v>
      </c>
      <c r="U5" s="225" t="s">
        <v>184</v>
      </c>
      <c r="V5" s="225" t="s">
        <v>39</v>
      </c>
      <c r="W5" s="225" t="s">
        <v>40</v>
      </c>
      <c r="X5" s="225" t="s">
        <v>42</v>
      </c>
      <c r="Y5" s="225" t="s">
        <v>178</v>
      </c>
      <c r="Z5" s="225" t="s">
        <v>233</v>
      </c>
      <c r="AA5" s="226"/>
    </row>
    <row r="6" spans="1:31" ht="57" customHeight="1" thickBot="1" x14ac:dyDescent="0.65">
      <c r="A6" s="209">
        <v>1</v>
      </c>
      <c r="B6" s="696">
        <v>5</v>
      </c>
      <c r="C6" s="696">
        <v>0.8</v>
      </c>
      <c r="D6" s="210">
        <f>ABS(F6)/C6/60</f>
        <v>0.16666666666666666</v>
      </c>
      <c r="E6" s="210">
        <f>B6+D6</f>
        <v>5.166666666666667</v>
      </c>
      <c r="F6" s="229">
        <v>-8</v>
      </c>
      <c r="G6" s="715">
        <v>450</v>
      </c>
      <c r="H6" s="716"/>
      <c r="I6" s="250" t="s">
        <v>283</v>
      </c>
      <c r="J6" s="696" t="s">
        <v>126</v>
      </c>
      <c r="K6" s="696" t="s">
        <v>278</v>
      </c>
      <c r="L6" s="302">
        <v>37.298000000000002</v>
      </c>
      <c r="M6" s="302"/>
      <c r="N6" s="302">
        <v>37.676000000000002</v>
      </c>
      <c r="O6" s="568">
        <f>(N6-L6)*1000</f>
        <v>378.00000000000011</v>
      </c>
      <c r="P6" s="303" t="s">
        <v>140</v>
      </c>
      <c r="Q6" s="188" t="s">
        <v>263</v>
      </c>
      <c r="R6" s="188"/>
      <c r="S6" s="188"/>
      <c r="T6" s="188"/>
      <c r="U6" s="188"/>
      <c r="V6" s="188"/>
      <c r="W6" s="188"/>
      <c r="X6" s="188"/>
      <c r="Y6" s="188"/>
      <c r="Z6" s="188"/>
      <c r="AA6" s="707" t="s">
        <v>376</v>
      </c>
      <c r="AD6" s="120">
        <f>SUM(O6:O10,O13:O19,O22)</f>
        <v>5147.1999999999916</v>
      </c>
    </row>
    <row r="7" spans="1:31" ht="70.5" customHeight="1" thickBot="1" x14ac:dyDescent="0.4">
      <c r="A7" s="214">
        <v>2</v>
      </c>
      <c r="B7" s="685">
        <v>5</v>
      </c>
      <c r="C7" s="685">
        <v>0.8</v>
      </c>
      <c r="D7" s="688">
        <f>(F7-F6)/C7/60</f>
        <v>0.41666666666666669</v>
      </c>
      <c r="E7" s="688">
        <f>B7+D7+E6</f>
        <v>10.583333333333334</v>
      </c>
      <c r="F7" s="229">
        <f>G6-G7+F6</f>
        <v>12</v>
      </c>
      <c r="G7" s="717">
        <f>G6-20</f>
        <v>430</v>
      </c>
      <c r="H7" s="718"/>
      <c r="I7" s="685" t="s">
        <v>25</v>
      </c>
      <c r="J7" s="685" t="s">
        <v>128</v>
      </c>
      <c r="K7" s="685" t="s">
        <v>279</v>
      </c>
      <c r="L7" s="300">
        <v>41.845999999999997</v>
      </c>
      <c r="M7" s="299"/>
      <c r="N7" s="300">
        <v>42.241</v>
      </c>
      <c r="O7" s="568">
        <f t="shared" ref="O7:O22" si="0">(N7-L7)*1000</f>
        <v>395.00000000000313</v>
      </c>
      <c r="P7" s="698"/>
      <c r="Q7" s="180"/>
      <c r="R7" s="180"/>
      <c r="S7" s="180"/>
      <c r="T7" s="180"/>
      <c r="U7" s="180"/>
      <c r="V7" s="180" t="s">
        <v>263</v>
      </c>
      <c r="W7" s="180"/>
      <c r="X7" s="180"/>
      <c r="Y7" s="180" t="s">
        <v>263</v>
      </c>
      <c r="Z7" s="185"/>
      <c r="AA7" s="708" t="s">
        <v>377</v>
      </c>
    </row>
    <row r="8" spans="1:31" ht="67.5" customHeight="1" thickBot="1" x14ac:dyDescent="0.4">
      <c r="A8" s="214">
        <v>3</v>
      </c>
      <c r="B8" s="685">
        <v>5</v>
      </c>
      <c r="C8" s="685">
        <v>0.8</v>
      </c>
      <c r="D8" s="688">
        <f>(F8-F7)/C8/60</f>
        <v>0.625</v>
      </c>
      <c r="E8" s="688">
        <f>B8+D8+E7</f>
        <v>16.208333333333336</v>
      </c>
      <c r="F8" s="229">
        <f>G7-G8+F7</f>
        <v>42</v>
      </c>
      <c r="G8" s="530">
        <v>400</v>
      </c>
      <c r="H8" s="694"/>
      <c r="I8" s="685" t="s">
        <v>72</v>
      </c>
      <c r="J8" s="685" t="s">
        <v>132</v>
      </c>
      <c r="K8" s="685" t="s">
        <v>278</v>
      </c>
      <c r="L8" s="300">
        <v>104.822</v>
      </c>
      <c r="M8" s="300"/>
      <c r="N8" s="300">
        <v>105.35299999999999</v>
      </c>
      <c r="O8" s="568">
        <f t="shared" si="0"/>
        <v>530.9999999999917</v>
      </c>
      <c r="P8" s="698" t="s">
        <v>140</v>
      </c>
      <c r="Q8" s="185" t="s">
        <v>263</v>
      </c>
      <c r="R8" s="180"/>
      <c r="S8" s="180"/>
      <c r="T8" s="180"/>
      <c r="U8" s="180"/>
      <c r="V8" s="180"/>
      <c r="W8" s="180"/>
      <c r="X8" s="180"/>
      <c r="Y8" s="188"/>
      <c r="Z8" s="185"/>
      <c r="AA8" s="708"/>
    </row>
    <row r="9" spans="1:31" ht="62.15" customHeight="1" thickBot="1" x14ac:dyDescent="0.4">
      <c r="A9" s="697">
        <v>4</v>
      </c>
      <c r="B9" s="685">
        <v>5</v>
      </c>
      <c r="C9" s="685">
        <v>0.8</v>
      </c>
      <c r="D9" s="688">
        <f t="shared" ref="D9:D10" si="1">(F9-F8)/C9/60</f>
        <v>1.6666666666666667</v>
      </c>
      <c r="E9" s="688">
        <f>B9+D9+E10</f>
        <v>32.875000000000007</v>
      </c>
      <c r="F9" s="229">
        <f t="shared" ref="F9:F10" si="2">G8-G9+F8</f>
        <v>122</v>
      </c>
      <c r="G9" s="695">
        <v>320</v>
      </c>
      <c r="H9" s="685"/>
      <c r="I9" s="686" t="s">
        <v>69</v>
      </c>
      <c r="J9" s="685" t="s">
        <v>135</v>
      </c>
      <c r="K9" s="685" t="s">
        <v>278</v>
      </c>
      <c r="L9" s="719">
        <v>11.6144</v>
      </c>
      <c r="M9" s="299"/>
      <c r="N9" s="299">
        <v>12.0764</v>
      </c>
      <c r="O9" s="568">
        <f t="shared" si="0"/>
        <v>461.99999999999977</v>
      </c>
      <c r="P9" s="698" t="s">
        <v>140</v>
      </c>
      <c r="Q9" s="185" t="s">
        <v>263</v>
      </c>
      <c r="R9" s="185"/>
      <c r="S9" s="185"/>
      <c r="T9" s="185"/>
      <c r="U9" s="185"/>
      <c r="V9" s="185"/>
      <c r="W9" s="185"/>
      <c r="X9" s="185"/>
      <c r="Y9" s="185"/>
      <c r="Z9" s="185"/>
      <c r="AA9" s="708" t="s">
        <v>378</v>
      </c>
    </row>
    <row r="10" spans="1:31" ht="56.9" customHeight="1" thickBot="1" x14ac:dyDescent="0.4">
      <c r="A10" s="697">
        <v>5</v>
      </c>
      <c r="B10" s="683">
        <v>5</v>
      </c>
      <c r="C10" s="683">
        <v>0.8</v>
      </c>
      <c r="D10" s="688">
        <f t="shared" si="1"/>
        <v>0.41666666666666669</v>
      </c>
      <c r="E10" s="688">
        <f>B10+D10+E11</f>
        <v>26.208333333333339</v>
      </c>
      <c r="F10" s="229">
        <f t="shared" si="2"/>
        <v>142</v>
      </c>
      <c r="G10" s="695">
        <v>300</v>
      </c>
      <c r="H10" s="684"/>
      <c r="I10" s="685" t="s">
        <v>68</v>
      </c>
      <c r="J10" s="685" t="s">
        <v>134</v>
      </c>
      <c r="K10" s="685" t="s">
        <v>116</v>
      </c>
      <c r="L10" s="504">
        <v>85.998999999999995</v>
      </c>
      <c r="M10" s="300"/>
      <c r="N10" s="300">
        <v>86.463999999999999</v>
      </c>
      <c r="O10" s="568">
        <f t="shared" si="0"/>
        <v>465.00000000000341</v>
      </c>
      <c r="P10" s="303"/>
      <c r="Q10" s="188"/>
      <c r="R10" s="188"/>
      <c r="S10" s="188"/>
      <c r="T10" s="188" t="s">
        <v>263</v>
      </c>
      <c r="U10" s="188"/>
      <c r="V10" s="188"/>
      <c r="W10" s="188" t="s">
        <v>263</v>
      </c>
      <c r="X10" s="188"/>
      <c r="Y10" s="188"/>
      <c r="Z10" s="188"/>
      <c r="AA10" s="709"/>
    </row>
    <row r="11" spans="1:31" ht="51" customHeight="1" x14ac:dyDescent="0.35">
      <c r="A11" s="912">
        <v>6</v>
      </c>
      <c r="B11" s="806">
        <v>5</v>
      </c>
      <c r="C11" s="806">
        <v>0.8</v>
      </c>
      <c r="D11" s="852">
        <f>(F11-F14)/60/C11</f>
        <v>-0.41666666666666663</v>
      </c>
      <c r="E11" s="807">
        <f>E8+D11+B11</f>
        <v>20.791666666666671</v>
      </c>
      <c r="F11" s="858">
        <f>G14-G11+F14</f>
        <v>242</v>
      </c>
      <c r="G11" s="861">
        <v>200</v>
      </c>
      <c r="H11" s="806"/>
      <c r="I11" s="759" t="s">
        <v>23</v>
      </c>
      <c r="J11" s="690" t="s">
        <v>204</v>
      </c>
      <c r="K11" s="296" t="s">
        <v>279</v>
      </c>
      <c r="L11" s="720">
        <v>7.3749000000000002</v>
      </c>
      <c r="M11" s="288"/>
      <c r="N11" s="288">
        <v>7.7458999999999998</v>
      </c>
      <c r="O11" s="568">
        <f t="shared" si="0"/>
        <v>370.99999999999955</v>
      </c>
      <c r="P11" s="875"/>
      <c r="Q11" s="298"/>
      <c r="R11" s="298"/>
      <c r="S11" s="298"/>
      <c r="T11" s="298"/>
      <c r="U11" s="298"/>
      <c r="V11" s="298" t="s">
        <v>263</v>
      </c>
      <c r="W11" s="298"/>
      <c r="X11" s="298"/>
      <c r="Y11" s="298" t="s">
        <v>263</v>
      </c>
      <c r="Z11" s="298" t="s">
        <v>263</v>
      </c>
      <c r="AA11" s="710"/>
    </row>
    <row r="12" spans="1:31" ht="55.5" customHeight="1" x14ac:dyDescent="0.35">
      <c r="A12" s="908"/>
      <c r="B12" s="742"/>
      <c r="C12" s="742"/>
      <c r="D12" s="852"/>
      <c r="E12" s="789"/>
      <c r="F12" s="791"/>
      <c r="G12" s="862"/>
      <c r="H12" s="742"/>
      <c r="I12" s="760"/>
      <c r="J12" s="683" t="s">
        <v>151</v>
      </c>
      <c r="K12" s="176" t="s">
        <v>116</v>
      </c>
      <c r="L12" s="721">
        <v>8.5119000000000007</v>
      </c>
      <c r="M12" s="287"/>
      <c r="N12" s="287">
        <v>8.8467000000000002</v>
      </c>
      <c r="O12" s="913">
        <f t="shared" si="0"/>
        <v>334.79999999999956</v>
      </c>
      <c r="P12" s="876"/>
      <c r="Q12" s="183"/>
      <c r="R12" s="183"/>
      <c r="S12" s="183"/>
      <c r="T12" s="183" t="s">
        <v>263</v>
      </c>
      <c r="U12" s="183"/>
      <c r="V12" s="183"/>
      <c r="W12" s="183" t="s">
        <v>263</v>
      </c>
      <c r="X12" s="183"/>
      <c r="Y12" s="183"/>
      <c r="Z12" s="183"/>
      <c r="AA12" s="711" t="s">
        <v>379</v>
      </c>
    </row>
    <row r="13" spans="1:31" ht="52.5" customHeight="1" thickBot="1" x14ac:dyDescent="0.4">
      <c r="A13" s="909"/>
      <c r="B13" s="743"/>
      <c r="C13" s="743"/>
      <c r="D13" s="853"/>
      <c r="E13" s="790"/>
      <c r="F13" s="792"/>
      <c r="G13" s="863"/>
      <c r="H13" s="743"/>
      <c r="I13" s="761"/>
      <c r="J13" s="684" t="s">
        <v>179</v>
      </c>
      <c r="K13" s="684"/>
      <c r="L13" s="719">
        <v>15.705399999999999</v>
      </c>
      <c r="M13" s="299"/>
      <c r="N13" s="299">
        <v>16.408300000000001</v>
      </c>
      <c r="O13" s="914">
        <f t="shared" si="0"/>
        <v>702.90000000000146</v>
      </c>
      <c r="P13" s="877"/>
      <c r="Q13" s="180"/>
      <c r="R13" s="180"/>
      <c r="S13" s="180"/>
      <c r="T13" s="180"/>
      <c r="U13" s="180"/>
      <c r="V13" s="180"/>
      <c r="W13" s="180"/>
      <c r="X13" s="180"/>
      <c r="Y13" s="180"/>
      <c r="Z13" s="185"/>
      <c r="AA13" s="709"/>
    </row>
    <row r="14" spans="1:31" ht="61.5" customHeight="1" thickBot="1" x14ac:dyDescent="0.4">
      <c r="A14" s="697">
        <v>7</v>
      </c>
      <c r="B14" s="685">
        <v>5</v>
      </c>
      <c r="C14" s="685">
        <v>0.8</v>
      </c>
      <c r="D14" s="688">
        <f>(F14-F10)/C14/60</f>
        <v>2.5</v>
      </c>
      <c r="E14" s="688">
        <f>B14+D14+E18</f>
        <v>30</v>
      </c>
      <c r="F14" s="229">
        <f>G10-G14+F10</f>
        <v>262</v>
      </c>
      <c r="G14" s="717">
        <v>180</v>
      </c>
      <c r="H14" s="718" t="s">
        <v>369</v>
      </c>
      <c r="I14" s="38" t="s">
        <v>70</v>
      </c>
      <c r="J14" s="684" t="s">
        <v>130</v>
      </c>
      <c r="K14" s="685" t="s">
        <v>278</v>
      </c>
      <c r="L14" s="504">
        <v>18.303999999999998</v>
      </c>
      <c r="M14" s="300"/>
      <c r="N14" s="300">
        <v>18.864000000000001</v>
      </c>
      <c r="O14" s="568">
        <f t="shared" si="0"/>
        <v>560.00000000000227</v>
      </c>
      <c r="P14" s="698" t="s">
        <v>140</v>
      </c>
      <c r="Q14" s="185" t="s">
        <v>263</v>
      </c>
      <c r="R14" s="185"/>
      <c r="S14" s="180"/>
      <c r="T14" s="180"/>
      <c r="U14" s="180"/>
      <c r="V14" s="180"/>
      <c r="W14" s="185"/>
      <c r="X14" s="180"/>
      <c r="Y14" s="185"/>
      <c r="Z14" s="185"/>
      <c r="AA14" s="708" t="s">
        <v>156</v>
      </c>
    </row>
    <row r="15" spans="1:31" ht="56.9" customHeight="1" thickBot="1" x14ac:dyDescent="0.4">
      <c r="A15" s="697">
        <v>8</v>
      </c>
      <c r="B15" s="683">
        <v>5</v>
      </c>
      <c r="C15" s="685">
        <v>0.8</v>
      </c>
      <c r="D15" s="688">
        <f>(F15-F11)/C15/60</f>
        <v>0.83333333333333337</v>
      </c>
      <c r="E15" s="688">
        <f>B15+D15+E12</f>
        <v>5.833333333333333</v>
      </c>
      <c r="F15" s="229">
        <f>G11-G15+F11</f>
        <v>282</v>
      </c>
      <c r="G15" s="695">
        <v>160</v>
      </c>
      <c r="H15" s="684"/>
      <c r="I15" s="689" t="s">
        <v>61</v>
      </c>
      <c r="J15" s="685" t="s">
        <v>127</v>
      </c>
      <c r="K15" s="685" t="s">
        <v>116</v>
      </c>
      <c r="L15" s="504">
        <v>57.427999999999997</v>
      </c>
      <c r="M15" s="300"/>
      <c r="N15" s="300">
        <v>57.85</v>
      </c>
      <c r="O15" s="568">
        <f t="shared" si="0"/>
        <v>422.00000000000415</v>
      </c>
      <c r="P15" s="303"/>
      <c r="Q15" s="188"/>
      <c r="R15" s="188"/>
      <c r="S15" s="188"/>
      <c r="T15" s="188" t="s">
        <v>263</v>
      </c>
      <c r="U15" s="188"/>
      <c r="V15" s="188"/>
      <c r="W15" s="188" t="s">
        <v>263</v>
      </c>
      <c r="X15" s="188"/>
      <c r="Y15" s="188"/>
      <c r="Z15" s="188"/>
      <c r="AA15" s="709" t="s">
        <v>380</v>
      </c>
    </row>
    <row r="16" spans="1:31" ht="56.9" customHeight="1" thickBot="1" x14ac:dyDescent="0.4">
      <c r="A16" s="697">
        <v>9</v>
      </c>
      <c r="B16" s="683">
        <v>5</v>
      </c>
      <c r="C16" s="685">
        <v>0.8</v>
      </c>
      <c r="D16" s="688">
        <f>(F16-F15)/C16/60</f>
        <v>0.83333333333333337</v>
      </c>
      <c r="E16" s="688">
        <f>B16+D16+E15</f>
        <v>11.666666666666666</v>
      </c>
      <c r="F16" s="229">
        <f>G15-G16+F15</f>
        <v>322</v>
      </c>
      <c r="G16" s="695">
        <v>120</v>
      </c>
      <c r="H16" s="684"/>
      <c r="I16" s="689" t="s">
        <v>67</v>
      </c>
      <c r="J16" s="696" t="s">
        <v>133</v>
      </c>
      <c r="K16" s="685" t="s">
        <v>116</v>
      </c>
      <c r="L16" s="504">
        <v>82.046000000000006</v>
      </c>
      <c r="M16" s="300"/>
      <c r="N16" s="300">
        <v>82.361999999999995</v>
      </c>
      <c r="O16" s="568">
        <f t="shared" si="0"/>
        <v>315.99999999998829</v>
      </c>
      <c r="P16" s="303"/>
      <c r="Q16" s="188"/>
      <c r="R16" s="188"/>
      <c r="S16" s="188"/>
      <c r="T16" s="188" t="s">
        <v>263</v>
      </c>
      <c r="U16" s="188"/>
      <c r="V16" s="188"/>
      <c r="W16" s="188" t="s">
        <v>263</v>
      </c>
      <c r="X16" s="188"/>
      <c r="Y16" s="188"/>
      <c r="Z16" s="188"/>
      <c r="AA16" s="709"/>
    </row>
    <row r="17" spans="1:30" ht="63.75" customHeight="1" thickBot="1" x14ac:dyDescent="0.4">
      <c r="A17" s="697">
        <v>10</v>
      </c>
      <c r="B17" s="685">
        <v>5</v>
      </c>
      <c r="C17" s="685">
        <v>0.8</v>
      </c>
      <c r="D17" s="688">
        <f>(F17-F16)/C17/60</f>
        <v>0.41666666666666669</v>
      </c>
      <c r="E17" s="688">
        <f>B17+D17+E16</f>
        <v>17.083333333333332</v>
      </c>
      <c r="F17" s="229">
        <f t="shared" ref="F17:F18" si="3">G16-G17+F16</f>
        <v>342</v>
      </c>
      <c r="G17" s="695">
        <v>100</v>
      </c>
      <c r="H17" s="326"/>
      <c r="I17" s="686" t="s">
        <v>313</v>
      </c>
      <c r="J17" s="685" t="s">
        <v>129</v>
      </c>
      <c r="K17" s="685" t="s">
        <v>278</v>
      </c>
      <c r="L17" s="504">
        <v>58.527000000000001</v>
      </c>
      <c r="M17" s="300"/>
      <c r="N17" s="300">
        <v>58.790999999999997</v>
      </c>
      <c r="O17" s="568">
        <f t="shared" si="0"/>
        <v>263.99999999999579</v>
      </c>
      <c r="P17" s="698" t="s">
        <v>140</v>
      </c>
      <c r="Q17" s="185" t="s">
        <v>263</v>
      </c>
      <c r="R17" s="185"/>
      <c r="S17" s="185"/>
      <c r="T17" s="185"/>
      <c r="U17" s="185"/>
      <c r="V17" s="185"/>
      <c r="W17" s="185"/>
      <c r="X17" s="339"/>
      <c r="Y17" s="185"/>
      <c r="Z17" s="185"/>
      <c r="AA17" s="708" t="s">
        <v>156</v>
      </c>
    </row>
    <row r="18" spans="1:30" ht="62.15" customHeight="1" thickBot="1" x14ac:dyDescent="0.4">
      <c r="A18" s="697">
        <v>11</v>
      </c>
      <c r="B18" s="696">
        <v>5</v>
      </c>
      <c r="C18" s="685">
        <v>0.8</v>
      </c>
      <c r="D18" s="688">
        <f>(F18-F17)/C18/60</f>
        <v>0.41666666666666669</v>
      </c>
      <c r="E18" s="688">
        <f>B18+D18+E17</f>
        <v>22.5</v>
      </c>
      <c r="F18" s="229">
        <f t="shared" si="3"/>
        <v>362</v>
      </c>
      <c r="G18" s="696">
        <v>80</v>
      </c>
      <c r="H18" s="696"/>
      <c r="I18" s="686" t="s">
        <v>71</v>
      </c>
      <c r="J18" s="685" t="s">
        <v>131</v>
      </c>
      <c r="K18" s="685" t="s">
        <v>116</v>
      </c>
      <c r="L18" s="504">
        <v>82.201999999999998</v>
      </c>
      <c r="M18" s="300"/>
      <c r="N18" s="300">
        <v>82.548000000000002</v>
      </c>
      <c r="O18" s="568">
        <f t="shared" si="0"/>
        <v>346.00000000000364</v>
      </c>
      <c r="P18" s="471"/>
      <c r="Q18" s="471"/>
      <c r="R18" s="188"/>
      <c r="S18" s="188"/>
      <c r="T18" s="188" t="s">
        <v>263</v>
      </c>
      <c r="U18" s="188"/>
      <c r="V18" s="188"/>
      <c r="W18" s="180" t="s">
        <v>263</v>
      </c>
      <c r="X18" s="188"/>
      <c r="Y18" s="188"/>
      <c r="Z18" s="188"/>
      <c r="AA18" s="712" t="s">
        <v>380</v>
      </c>
    </row>
    <row r="19" spans="1:30" ht="62.15" customHeight="1" thickBot="1" x14ac:dyDescent="0.4">
      <c r="A19" s="697">
        <v>12</v>
      </c>
      <c r="B19" s="696">
        <v>5</v>
      </c>
      <c r="C19" s="685">
        <v>0.8</v>
      </c>
      <c r="D19" s="688">
        <f>(F19-F18)/C19/60</f>
        <v>0.625</v>
      </c>
      <c r="E19" s="688">
        <f>B19+D19+E18</f>
        <v>28.125</v>
      </c>
      <c r="F19" s="229">
        <f t="shared" ref="F19" si="4">G18-G19+F18</f>
        <v>392</v>
      </c>
      <c r="G19" s="696">
        <v>50</v>
      </c>
      <c r="H19" s="696"/>
      <c r="I19" s="608" t="s">
        <v>58</v>
      </c>
      <c r="J19" s="689" t="s">
        <v>149</v>
      </c>
      <c r="K19" s="685" t="s">
        <v>278</v>
      </c>
      <c r="L19" s="504">
        <v>17.849</v>
      </c>
      <c r="M19" s="300"/>
      <c r="N19" s="300">
        <v>17.891999999999999</v>
      </c>
      <c r="O19" s="568">
        <f t="shared" si="0"/>
        <v>42.999999999999261</v>
      </c>
      <c r="P19" s="471"/>
      <c r="Q19" s="185" t="s">
        <v>263</v>
      </c>
      <c r="R19" s="188"/>
      <c r="S19" s="188"/>
      <c r="T19" s="188"/>
      <c r="U19" s="188"/>
      <c r="V19" s="188"/>
      <c r="W19" s="180" t="s">
        <v>263</v>
      </c>
      <c r="X19" s="188"/>
      <c r="Y19" s="188"/>
      <c r="Z19" s="188"/>
      <c r="AA19" s="712" t="s">
        <v>381</v>
      </c>
    </row>
    <row r="20" spans="1:30" ht="53.9" customHeight="1" x14ac:dyDescent="0.35">
      <c r="A20" s="908">
        <v>13</v>
      </c>
      <c r="B20" s="742">
        <v>5</v>
      </c>
      <c r="C20" s="806">
        <v>0.8</v>
      </c>
      <c r="D20" s="852">
        <f>(F20-F18)/C20/60</f>
        <v>1.0416666666666667</v>
      </c>
      <c r="E20" s="789">
        <f>E19+B20+D20</f>
        <v>34.166666666666664</v>
      </c>
      <c r="F20" s="858">
        <f>G19-G20+F19</f>
        <v>412</v>
      </c>
      <c r="G20" s="801">
        <v>30</v>
      </c>
      <c r="H20" s="871"/>
      <c r="I20" s="742" t="s">
        <v>27</v>
      </c>
      <c r="J20" s="682" t="s">
        <v>150</v>
      </c>
      <c r="K20" s="175" t="s">
        <v>279</v>
      </c>
      <c r="L20" s="722">
        <v>7.5282</v>
      </c>
      <c r="M20" s="364"/>
      <c r="N20" s="288">
        <v>7.6357999999999997</v>
      </c>
      <c r="O20" s="568">
        <f t="shared" si="0"/>
        <v>107.5999999999997</v>
      </c>
      <c r="P20" s="876"/>
      <c r="Q20" s="181"/>
      <c r="R20" s="181"/>
      <c r="S20" s="181"/>
      <c r="T20" s="181"/>
      <c r="U20" s="289"/>
      <c r="V20" s="340" t="s">
        <v>263</v>
      </c>
      <c r="W20" s="340"/>
      <c r="X20" s="298"/>
      <c r="Y20" s="340" t="s">
        <v>263</v>
      </c>
      <c r="Z20" s="340" t="s">
        <v>263</v>
      </c>
      <c r="AA20" s="713" t="s">
        <v>342</v>
      </c>
    </row>
    <row r="21" spans="1:30" ht="57.75" customHeight="1" x14ac:dyDescent="0.35">
      <c r="A21" s="908"/>
      <c r="B21" s="742"/>
      <c r="C21" s="742"/>
      <c r="D21" s="852"/>
      <c r="E21" s="789"/>
      <c r="F21" s="791"/>
      <c r="G21" s="801"/>
      <c r="H21" s="871"/>
      <c r="I21" s="742"/>
      <c r="J21" s="683" t="s">
        <v>151</v>
      </c>
      <c r="K21" s="176" t="s">
        <v>116</v>
      </c>
      <c r="L21" s="721">
        <v>9.9977</v>
      </c>
      <c r="M21" s="363"/>
      <c r="N21" s="287">
        <v>10.1554</v>
      </c>
      <c r="O21" s="913">
        <f t="shared" si="0"/>
        <v>157.70000000000016</v>
      </c>
      <c r="P21" s="876"/>
      <c r="Q21" s="183"/>
      <c r="R21" s="183"/>
      <c r="S21" s="183"/>
      <c r="T21" s="183" t="s">
        <v>263</v>
      </c>
      <c r="U21" s="183"/>
      <c r="V21" s="183"/>
      <c r="W21" s="183" t="s">
        <v>263</v>
      </c>
      <c r="X21" s="183"/>
      <c r="Y21" s="183"/>
      <c r="Z21" s="183"/>
      <c r="AA21" s="714"/>
    </row>
    <row r="22" spans="1:30" ht="64.5" customHeight="1" thickBot="1" x14ac:dyDescent="0.4">
      <c r="A22" s="909"/>
      <c r="B22" s="743"/>
      <c r="C22" s="743"/>
      <c r="D22" s="853"/>
      <c r="E22" s="790"/>
      <c r="F22" s="792"/>
      <c r="G22" s="802"/>
      <c r="H22" s="872"/>
      <c r="I22" s="743"/>
      <c r="J22" s="684" t="s">
        <v>179</v>
      </c>
      <c r="K22" s="684"/>
      <c r="L22" s="719">
        <v>17.215900000000001</v>
      </c>
      <c r="M22" s="365"/>
      <c r="N22" s="299">
        <v>17.478200000000001</v>
      </c>
      <c r="O22" s="915">
        <f t="shared" si="0"/>
        <v>262.29999999999973</v>
      </c>
      <c r="P22" s="877"/>
      <c r="Q22" s="180"/>
      <c r="R22" s="180"/>
      <c r="S22" s="180"/>
      <c r="T22" s="180"/>
      <c r="U22" s="180"/>
      <c r="V22" s="180"/>
      <c r="W22" s="180"/>
      <c r="X22" s="180"/>
      <c r="Y22" s="180"/>
      <c r="Z22" s="185"/>
      <c r="AA22" s="709"/>
    </row>
    <row r="23" spans="1:30" ht="40.5" thickBot="1" x14ac:dyDescent="0.6">
      <c r="A23" s="24" t="s">
        <v>10</v>
      </c>
      <c r="B23" s="682">
        <f>SUM(B6:B22)</f>
        <v>65</v>
      </c>
      <c r="C23" s="682"/>
      <c r="D23" s="693">
        <f>SUM(D6:D22)</f>
        <v>9.5416666666666661</v>
      </c>
      <c r="E23" s="693">
        <f>D23+B23</f>
        <v>74.541666666666671</v>
      </c>
      <c r="F23" s="144">
        <f>G6</f>
        <v>450</v>
      </c>
      <c r="G23" s="827" t="s">
        <v>18</v>
      </c>
      <c r="H23" s="856"/>
      <c r="I23" s="856"/>
      <c r="J23" s="9"/>
      <c r="K23" s="145" t="s">
        <v>103</v>
      </c>
      <c r="L23" s="855" t="s">
        <v>102</v>
      </c>
      <c r="M23" s="855"/>
      <c r="N23" s="252" t="s">
        <v>53</v>
      </c>
      <c r="O23" s="22"/>
    </row>
    <row r="24" spans="1:30" ht="46" x14ac:dyDescent="0.35">
      <c r="A24" s="26" t="s">
        <v>12</v>
      </c>
      <c r="B24" s="683">
        <f>B23/60</f>
        <v>1.0833333333333333</v>
      </c>
      <c r="C24" s="683"/>
      <c r="D24" s="692" t="s">
        <v>14</v>
      </c>
      <c r="E24" s="692"/>
      <c r="F24" s="699"/>
      <c r="J24" s="95" t="s">
        <v>145</v>
      </c>
      <c r="K24" s="30">
        <v>44254</v>
      </c>
      <c r="L24" s="883">
        <v>0.55208333333333337</v>
      </c>
      <c r="M24" s="884"/>
      <c r="N24" s="367">
        <v>0.34375</v>
      </c>
      <c r="O24" s="22" t="s">
        <v>315</v>
      </c>
      <c r="AC24">
        <v>1</v>
      </c>
    </row>
    <row r="25" spans="1:30" ht="46" x14ac:dyDescent="0.6">
      <c r="J25" s="96" t="s">
        <v>45</v>
      </c>
      <c r="K25" s="30">
        <v>44254</v>
      </c>
      <c r="L25" s="881">
        <v>0.61458333333333337</v>
      </c>
      <c r="M25" s="885"/>
      <c r="N25" s="367">
        <v>0.40625</v>
      </c>
      <c r="O25" s="22"/>
      <c r="AA25" s="120" t="s">
        <v>371</v>
      </c>
    </row>
    <row r="26" spans="1:30" ht="46" x14ac:dyDescent="0.75">
      <c r="A26" s="1"/>
      <c r="B26" s="1"/>
      <c r="C26" s="1"/>
      <c r="D26" s="1"/>
      <c r="E26" s="1"/>
      <c r="F26" s="1"/>
      <c r="G26" s="1"/>
      <c r="J26" s="96" t="s">
        <v>46</v>
      </c>
      <c r="K26" s="30">
        <v>44254</v>
      </c>
      <c r="L26" s="881">
        <v>0.71875</v>
      </c>
      <c r="M26" s="882"/>
      <c r="N26" s="367">
        <v>0.51041666666666663</v>
      </c>
      <c r="O26" s="726">
        <f>N26-N25</f>
        <v>0.10416666666666663</v>
      </c>
      <c r="AA26" s="725">
        <f>SUM(AD6,'SWG-58-149'!T5,'SWG-58-145'!AB5,'SWG-47-132'!T5,'SWG-47-129'!AB6,'SWG-44-119'!AC5,'SWG-42-113'!AD5,'SWG-38-104'!AA5,'SWG-36-096'!AC5,'SWG-33-089'!AC6,'SWG-33-086'!AB5,'SWG-31-081'!AB5,'SWG-25-070-P'!T5,'SWG-25-066-P'!AB5,'SWG-21-056-P'!AC5,'SWG-15-045-P'!AB5,'SWG-14-043-P'!AB5,'SWG-11-035-P'!T6,'SWG-11-030-P'!AA5,'SWG-04-016-P'!AB5,'SWG-03-013-P'!Q16,'SWG-03-009-P'!X23,'SWG-01-003-P'!X25)</f>
        <v>189600.1</v>
      </c>
    </row>
    <row r="27" spans="1:30" ht="46" x14ac:dyDescent="0.75">
      <c r="A27" s="857" t="s">
        <v>52</v>
      </c>
      <c r="B27" s="857"/>
      <c r="C27" s="857"/>
      <c r="D27" s="857"/>
      <c r="E27" s="857"/>
      <c r="F27" s="857"/>
      <c r="J27" s="96" t="s">
        <v>47</v>
      </c>
      <c r="K27" s="30">
        <v>44254</v>
      </c>
      <c r="L27" s="881">
        <v>0.76041666666666663</v>
      </c>
      <c r="M27" s="882"/>
      <c r="N27" s="367">
        <v>0.55208333333333337</v>
      </c>
      <c r="O27" s="22"/>
      <c r="AA27" s="725">
        <f>1934+8652+8373+12915+15130+10948+9019+8584+10741+10531+8601+2530+3753+10424+9475+9026+7528+2672+8702+7485+9693+7738+AD6</f>
        <v>189601.19999999998</v>
      </c>
    </row>
    <row r="28" spans="1:30" ht="20" x14ac:dyDescent="0.4">
      <c r="A28" s="17" t="s">
        <v>51</v>
      </c>
      <c r="B28" s="17"/>
      <c r="C28" s="17"/>
      <c r="F28" s="9">
        <v>8</v>
      </c>
      <c r="G28" s="20" t="s">
        <v>11</v>
      </c>
      <c r="J28" s="17"/>
      <c r="K28" s="19"/>
      <c r="O28" s="22"/>
    </row>
    <row r="29" spans="1:30" ht="60" x14ac:dyDescent="0.7">
      <c r="A29" s="120" t="s">
        <v>382</v>
      </c>
      <c r="E29" s="146"/>
      <c r="F29" s="145"/>
      <c r="G29" s="17"/>
      <c r="J29" s="10" t="s">
        <v>50</v>
      </c>
      <c r="K29" s="31">
        <f>E23+F29</f>
        <v>74.541666666666671</v>
      </c>
      <c r="O29" s="22"/>
      <c r="AA29" s="120" t="s">
        <v>372</v>
      </c>
      <c r="AD29" s="251" t="s">
        <v>373</v>
      </c>
    </row>
    <row r="30" spans="1:30" ht="60" x14ac:dyDescent="0.7">
      <c r="A30" s="146"/>
      <c r="C30" s="120"/>
      <c r="F30" s="17"/>
      <c r="G30" s="17"/>
      <c r="H30" s="17"/>
      <c r="I30" s="15"/>
      <c r="J30" s="10" t="s">
        <v>49</v>
      </c>
      <c r="K30" s="31">
        <f>D23+5*A20+F29</f>
        <v>74.541666666666671</v>
      </c>
      <c r="O30" s="22"/>
      <c r="AA30" s="120">
        <f>7+13+10+13*14+11+7+7+10+11</f>
        <v>258</v>
      </c>
      <c r="AD30" s="251">
        <f>15*15+9*3+10+11+12*3</f>
        <v>309</v>
      </c>
    </row>
    <row r="31" spans="1:30" ht="29.5" x14ac:dyDescent="0.55000000000000004">
      <c r="A31" s="147"/>
      <c r="B31" s="20"/>
      <c r="C31" s="17"/>
      <c r="I31" s="9"/>
      <c r="J31" s="1"/>
      <c r="K31" s="1"/>
      <c r="L31" s="1"/>
      <c r="M31" s="2"/>
    </row>
    <row r="32" spans="1:30" ht="23.5" x14ac:dyDescent="0.55000000000000004">
      <c r="C32" s="17"/>
      <c r="D32" s="17"/>
      <c r="E32" s="17"/>
      <c r="F32" s="17"/>
      <c r="I32" s="15"/>
      <c r="J32" s="1"/>
      <c r="K32" s="1"/>
      <c r="L32" s="1"/>
      <c r="M32" s="2"/>
      <c r="AA32" s="251">
        <f>258*4*50</f>
        <v>51600</v>
      </c>
      <c r="AB32" t="s">
        <v>374</v>
      </c>
    </row>
    <row r="33" spans="1:28" ht="21" x14ac:dyDescent="0.5">
      <c r="A33" s="19"/>
      <c r="B33" s="20"/>
      <c r="C33" s="17"/>
      <c r="D33" s="17"/>
      <c r="E33" s="23"/>
      <c r="F33" s="17"/>
      <c r="G33" s="17"/>
      <c r="H33" s="17"/>
      <c r="I33" s="15"/>
      <c r="J33" s="1"/>
      <c r="K33" s="1"/>
      <c r="L33" s="1"/>
      <c r="M33" s="2"/>
      <c r="N33" s="2"/>
      <c r="O33" s="2"/>
      <c r="AA33" s="723">
        <f>16*3+1*3+4*2+1</f>
        <v>60</v>
      </c>
      <c r="AB33" t="s">
        <v>375</v>
      </c>
    </row>
    <row r="34" spans="1:28" ht="20" x14ac:dyDescent="0.4">
      <c r="A34" s="19"/>
      <c r="B34" s="20"/>
      <c r="C34" s="17"/>
      <c r="D34" s="17"/>
      <c r="E34" s="17"/>
      <c r="F34" s="17"/>
      <c r="G34" s="17"/>
      <c r="H34" s="17"/>
      <c r="I34" s="15"/>
      <c r="J34" s="1"/>
      <c r="K34" s="1"/>
      <c r="L34" s="1"/>
      <c r="M34" s="2"/>
    </row>
    <row r="35" spans="1:28" ht="18.5" x14ac:dyDescent="0.45">
      <c r="A35" s="16"/>
      <c r="B35" s="16"/>
      <c r="C35" s="16"/>
      <c r="D35" s="16"/>
      <c r="E35" s="16"/>
      <c r="F35" s="16"/>
      <c r="G35" s="16"/>
      <c r="H35" s="16"/>
      <c r="I35" s="16"/>
    </row>
    <row r="89" spans="13:13" x14ac:dyDescent="0.35">
      <c r="M89" t="s">
        <v>14</v>
      </c>
    </row>
  </sheetData>
  <mergeCells count="31">
    <mergeCell ref="M3:O3"/>
    <mergeCell ref="Q4:S4"/>
    <mergeCell ref="T4:X4"/>
    <mergeCell ref="L5:M5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P11:P13"/>
    <mergeCell ref="A20:A22"/>
    <mergeCell ref="B20:B22"/>
    <mergeCell ref="C20:C22"/>
    <mergeCell ref="D20:D22"/>
    <mergeCell ref="E20:E22"/>
    <mergeCell ref="F20:F22"/>
    <mergeCell ref="G20:G22"/>
    <mergeCell ref="H20:H22"/>
    <mergeCell ref="I20:I22"/>
    <mergeCell ref="P20:P22"/>
    <mergeCell ref="A27:F27"/>
    <mergeCell ref="L27:M27"/>
    <mergeCell ref="G23:I23"/>
    <mergeCell ref="L23:M23"/>
    <mergeCell ref="L24:M24"/>
    <mergeCell ref="L25:M25"/>
    <mergeCell ref="L26:M26"/>
  </mergeCells>
  <pageMargins left="0.7" right="0.7" top="0.75" bottom="0.75" header="0.3" footer="0.3"/>
  <pageSetup paperSize="9" scale="2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"/>
  <sheetViews>
    <sheetView topLeftCell="A12" zoomScale="40" zoomScaleNormal="40" zoomScaleSheetLayoutView="40" workbookViewId="0">
      <selection activeCell="I16" sqref="I16"/>
    </sheetView>
  </sheetViews>
  <sheetFormatPr defaultColWidth="11.453125" defaultRowHeight="14.5" x14ac:dyDescent="0.35"/>
  <cols>
    <col min="1" max="1" width="12.08984375" customWidth="1"/>
    <col min="2" max="2" width="13" customWidth="1"/>
    <col min="3" max="3" width="15.453125" customWidth="1"/>
    <col min="4" max="5" width="14.453125" customWidth="1"/>
    <col min="6" max="6" width="19.90625" customWidth="1"/>
    <col min="7" max="7" width="13.453125" customWidth="1"/>
    <col min="8" max="8" width="13.90625" customWidth="1"/>
    <col min="9" max="9" width="30.453125" customWidth="1"/>
    <col min="10" max="10" width="21.08984375" customWidth="1"/>
    <col min="11" max="11" width="19.453125" bestFit="1" customWidth="1"/>
    <col min="12" max="12" width="11.453125" customWidth="1"/>
    <col min="13" max="14" width="10" customWidth="1"/>
    <col min="15" max="15" width="16.08984375" customWidth="1"/>
    <col min="16" max="16" width="15.90625" customWidth="1"/>
    <col min="17" max="17" width="11.90625" customWidth="1"/>
    <col min="18" max="18" width="6.453125" customWidth="1"/>
    <col min="19" max="19" width="10.453125" bestFit="1" customWidth="1"/>
    <col min="20" max="20" width="12.08984375" bestFit="1" customWidth="1"/>
    <col min="21" max="21" width="6.453125" customWidth="1"/>
    <col min="22" max="22" width="12.453125" bestFit="1" customWidth="1"/>
    <col min="23" max="23" width="8.453125" customWidth="1"/>
    <col min="24" max="24" width="66.453125" customWidth="1"/>
    <col min="25" max="25" width="10.453125" customWidth="1"/>
    <col min="26" max="26" width="10.453125" bestFit="1" customWidth="1"/>
    <col min="27" max="27" width="34.453125" customWidth="1"/>
  </cols>
  <sheetData>
    <row r="1" spans="1:24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ht="41.25" customHeight="1" x14ac:dyDescent="0.65">
      <c r="A2" s="84" t="s">
        <v>36</v>
      </c>
      <c r="B2" s="83"/>
      <c r="C2" s="98" t="s">
        <v>166</v>
      </c>
      <c r="D2" s="83"/>
      <c r="H2" s="91" t="s">
        <v>96</v>
      </c>
      <c r="I2" s="88" t="s">
        <v>141</v>
      </c>
      <c r="J2" s="89" t="s">
        <v>99</v>
      </c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4" ht="30" x14ac:dyDescent="0.6">
      <c r="A3" s="119" t="s">
        <v>136</v>
      </c>
      <c r="B3" s="120"/>
      <c r="C3" s="121">
        <v>2182</v>
      </c>
      <c r="D3" s="122" t="s">
        <v>11</v>
      </c>
      <c r="E3" s="1"/>
      <c r="F3" s="1"/>
      <c r="G3" s="1"/>
      <c r="H3" s="92" t="s">
        <v>97</v>
      </c>
      <c r="I3" s="88" t="s">
        <v>142</v>
      </c>
      <c r="J3" s="89" t="s">
        <v>100</v>
      </c>
      <c r="K3" s="1"/>
      <c r="L3" s="1"/>
      <c r="M3" s="831" t="s">
        <v>43</v>
      </c>
      <c r="N3" s="832"/>
      <c r="O3" s="832"/>
      <c r="P3" s="833"/>
      <c r="Q3" s="137"/>
      <c r="R3" s="137"/>
      <c r="S3" s="137"/>
      <c r="T3" s="137"/>
      <c r="U3" s="137"/>
      <c r="V3" s="137"/>
      <c r="W3" s="137"/>
    </row>
    <row r="4" spans="1:24" ht="20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3" t="s">
        <v>48</v>
      </c>
    </row>
    <row r="5" spans="1:24" ht="62.5" x14ac:dyDescent="0.35">
      <c r="A5" s="11" t="s">
        <v>98</v>
      </c>
      <c r="B5" s="11" t="s">
        <v>0</v>
      </c>
      <c r="C5" s="11" t="s">
        <v>17</v>
      </c>
      <c r="D5" s="11" t="s">
        <v>1</v>
      </c>
      <c r="E5" s="11" t="s">
        <v>2</v>
      </c>
      <c r="F5" s="189" t="s">
        <v>3</v>
      </c>
      <c r="G5" s="189" t="s">
        <v>4</v>
      </c>
      <c r="H5" s="189" t="s">
        <v>5</v>
      </c>
      <c r="I5" s="190" t="s">
        <v>16</v>
      </c>
      <c r="J5" s="191" t="s">
        <v>15</v>
      </c>
      <c r="K5" s="191" t="s">
        <v>66</v>
      </c>
      <c r="L5" s="818" t="s">
        <v>143</v>
      </c>
      <c r="M5" s="819"/>
      <c r="N5" s="818" t="s">
        <v>144</v>
      </c>
      <c r="O5" s="819"/>
      <c r="P5" s="818" t="s">
        <v>8</v>
      </c>
      <c r="Q5" s="819"/>
      <c r="R5" s="28" t="s">
        <v>41</v>
      </c>
      <c r="S5" s="28" t="s">
        <v>40</v>
      </c>
      <c r="T5" s="28" t="s">
        <v>39</v>
      </c>
      <c r="U5" s="28" t="s">
        <v>178</v>
      </c>
      <c r="V5" s="28" t="s">
        <v>148</v>
      </c>
      <c r="W5" s="28" t="s">
        <v>42</v>
      </c>
      <c r="X5" s="53"/>
    </row>
    <row r="6" spans="1:24" ht="46.5" customHeight="1" thickBot="1" x14ac:dyDescent="0.4">
      <c r="A6" s="131">
        <v>1</v>
      </c>
      <c r="B6" s="131">
        <v>6</v>
      </c>
      <c r="C6" s="131">
        <v>0.8</v>
      </c>
      <c r="D6" s="133">
        <f>ABS(F6/C6/60)</f>
        <v>0.14583333333333334</v>
      </c>
      <c r="E6" s="133">
        <f>D6+B6</f>
        <v>6.145833333333333</v>
      </c>
      <c r="F6" s="134">
        <v>-7</v>
      </c>
      <c r="G6" s="131">
        <v>2153</v>
      </c>
      <c r="H6" s="132"/>
      <c r="I6" s="135" t="s">
        <v>58</v>
      </c>
      <c r="J6" s="135" t="s">
        <v>149</v>
      </c>
      <c r="K6" s="131" t="s">
        <v>64</v>
      </c>
      <c r="L6" s="734">
        <v>8.1959999999999997</v>
      </c>
      <c r="M6" s="735"/>
      <c r="N6" s="810">
        <v>8.7729999999999997</v>
      </c>
      <c r="O6" s="811"/>
      <c r="P6" s="810">
        <f>(N6-L6)*1000</f>
        <v>577</v>
      </c>
      <c r="Q6" s="811"/>
      <c r="R6" s="131"/>
      <c r="S6" s="131"/>
      <c r="T6" s="141" t="s">
        <v>54</v>
      </c>
      <c r="U6" s="141" t="s">
        <v>54</v>
      </c>
      <c r="V6" s="141"/>
      <c r="W6" s="141" t="s">
        <v>54</v>
      </c>
      <c r="X6" s="54"/>
    </row>
    <row r="7" spans="1:24" ht="46.5" customHeight="1" thickBot="1" x14ac:dyDescent="0.4">
      <c r="A7" s="131">
        <v>2</v>
      </c>
      <c r="B7" s="131">
        <v>6</v>
      </c>
      <c r="C7" s="149">
        <v>0.8</v>
      </c>
      <c r="D7" s="133">
        <f t="shared" ref="D7:D15" si="0">(F7-F6)/C7/60</f>
        <v>8.3958333333333339</v>
      </c>
      <c r="E7" s="133">
        <f t="shared" ref="E7:E13" si="1">E6+B7+D7</f>
        <v>20.541666666666664</v>
      </c>
      <c r="F7" s="134">
        <f>G$6-G7-$F$28+1</f>
        <v>396</v>
      </c>
      <c r="G7" s="131">
        <v>1750</v>
      </c>
      <c r="H7" s="132"/>
      <c r="I7" s="135" t="s">
        <v>70</v>
      </c>
      <c r="J7" s="135" t="s">
        <v>130</v>
      </c>
      <c r="K7" s="131" t="s">
        <v>64</v>
      </c>
      <c r="L7" s="734">
        <v>2.4830000000000001</v>
      </c>
      <c r="M7" s="735"/>
      <c r="N7" s="816">
        <v>3.0219999999999998</v>
      </c>
      <c r="O7" s="817"/>
      <c r="P7" s="810">
        <f t="shared" ref="P7:P16" si="2">(N7-L7)*1000</f>
        <v>538.99999999999966</v>
      </c>
      <c r="Q7" s="811"/>
      <c r="R7" s="131"/>
      <c r="S7" s="131"/>
      <c r="T7" s="141" t="s">
        <v>54</v>
      </c>
      <c r="U7" s="141" t="s">
        <v>54</v>
      </c>
      <c r="V7" s="141"/>
      <c r="W7" s="141" t="s">
        <v>54</v>
      </c>
      <c r="X7" s="54"/>
    </row>
    <row r="8" spans="1:24" ht="46.5" customHeight="1" thickBot="1" x14ac:dyDescent="0.4">
      <c r="A8" s="131">
        <v>3</v>
      </c>
      <c r="B8" s="149">
        <v>6</v>
      </c>
      <c r="C8" s="149">
        <v>0.8</v>
      </c>
      <c r="D8" s="133">
        <f t="shared" si="0"/>
        <v>5.208333333333333</v>
      </c>
      <c r="E8" s="133">
        <f t="shared" si="1"/>
        <v>31.749999999999996</v>
      </c>
      <c r="F8" s="134">
        <f>G$7-G8+F7</f>
        <v>646</v>
      </c>
      <c r="G8" s="131">
        <v>1500</v>
      </c>
      <c r="H8" s="132"/>
      <c r="I8" s="135" t="s">
        <v>60</v>
      </c>
      <c r="J8" s="131" t="s">
        <v>129</v>
      </c>
      <c r="K8" s="131" t="s">
        <v>64</v>
      </c>
      <c r="L8" s="734">
        <v>44.863999999999997</v>
      </c>
      <c r="M8" s="735"/>
      <c r="N8" s="816">
        <v>45.42</v>
      </c>
      <c r="O8" s="817"/>
      <c r="P8" s="810">
        <f t="shared" si="2"/>
        <v>556.00000000000455</v>
      </c>
      <c r="Q8" s="811"/>
      <c r="R8" s="131"/>
      <c r="S8" s="131"/>
      <c r="T8" s="141" t="s">
        <v>54</v>
      </c>
      <c r="U8" s="141" t="s">
        <v>54</v>
      </c>
      <c r="V8" s="141"/>
      <c r="W8" s="141" t="s">
        <v>54</v>
      </c>
      <c r="X8" s="54" t="s">
        <v>156</v>
      </c>
    </row>
    <row r="9" spans="1:24" ht="46.5" customHeight="1" thickBot="1" x14ac:dyDescent="0.4">
      <c r="A9" s="131">
        <v>4</v>
      </c>
      <c r="B9" s="149">
        <v>6</v>
      </c>
      <c r="C9" s="149">
        <v>0.8</v>
      </c>
      <c r="D9" s="133">
        <f t="shared" si="0"/>
        <v>10.416666666666666</v>
      </c>
      <c r="E9" s="133">
        <f t="shared" si="1"/>
        <v>48.166666666666664</v>
      </c>
      <c r="F9" s="134">
        <f>G8-G9+F8</f>
        <v>1146</v>
      </c>
      <c r="G9" s="131">
        <v>1000</v>
      </c>
      <c r="H9" s="132"/>
      <c r="I9" s="135" t="s">
        <v>72</v>
      </c>
      <c r="J9" s="131" t="s">
        <v>132</v>
      </c>
      <c r="K9" s="131" t="s">
        <v>64</v>
      </c>
      <c r="L9" s="734">
        <v>89.718000000000004</v>
      </c>
      <c r="M9" s="735"/>
      <c r="N9" s="816">
        <v>90.355999999999995</v>
      </c>
      <c r="O9" s="817"/>
      <c r="P9" s="810">
        <f t="shared" si="2"/>
        <v>637.99999999999102</v>
      </c>
      <c r="Q9" s="811"/>
      <c r="R9" s="131"/>
      <c r="S9" s="131"/>
      <c r="T9" s="142" t="s">
        <v>54</v>
      </c>
      <c r="U9" s="141" t="s">
        <v>54</v>
      </c>
      <c r="V9" s="141"/>
      <c r="W9" s="141" t="s">
        <v>54</v>
      </c>
      <c r="X9" s="54"/>
    </row>
    <row r="10" spans="1:24" ht="46.5" customHeight="1" thickBot="1" x14ac:dyDescent="0.4">
      <c r="A10" s="131">
        <v>5</v>
      </c>
      <c r="B10" s="149">
        <v>6</v>
      </c>
      <c r="C10" s="149">
        <v>0.8</v>
      </c>
      <c r="D10" s="133">
        <f t="shared" si="0"/>
        <v>4.166666666666667</v>
      </c>
      <c r="E10" s="133">
        <f t="shared" si="1"/>
        <v>58.333333333333329</v>
      </c>
      <c r="F10" s="134">
        <f>G9-G10+F9</f>
        <v>1346</v>
      </c>
      <c r="G10" s="131">
        <v>800</v>
      </c>
      <c r="H10" s="132"/>
      <c r="I10" s="135" t="s">
        <v>71</v>
      </c>
      <c r="J10" s="131" t="s">
        <v>131</v>
      </c>
      <c r="K10" s="131" t="s">
        <v>65</v>
      </c>
      <c r="L10" s="734">
        <v>64.42</v>
      </c>
      <c r="M10" s="735"/>
      <c r="N10" s="816">
        <v>65.188999999999993</v>
      </c>
      <c r="O10" s="817"/>
      <c r="P10" s="810">
        <f t="shared" si="2"/>
        <v>768.99999999999125</v>
      </c>
      <c r="Q10" s="811"/>
      <c r="R10" s="141" t="s">
        <v>54</v>
      </c>
      <c r="S10" s="141" t="s">
        <v>54</v>
      </c>
      <c r="T10" s="138"/>
      <c r="U10" s="131"/>
      <c r="V10" s="131"/>
      <c r="W10" s="131"/>
      <c r="X10" s="54" t="s">
        <v>152</v>
      </c>
    </row>
    <row r="11" spans="1:24" ht="46.5" customHeight="1" thickBot="1" x14ac:dyDescent="0.4">
      <c r="A11" s="131">
        <v>6</v>
      </c>
      <c r="B11" s="149">
        <v>6</v>
      </c>
      <c r="C11" s="149">
        <v>0.8</v>
      </c>
      <c r="D11" s="133">
        <f t="shared" si="0"/>
        <v>1.0416666666666667</v>
      </c>
      <c r="E11" s="133">
        <f t="shared" si="1"/>
        <v>65.375</v>
      </c>
      <c r="F11" s="134">
        <f>G10-G11+F10</f>
        <v>1396</v>
      </c>
      <c r="G11" s="131">
        <v>750</v>
      </c>
      <c r="H11" s="132"/>
      <c r="I11" s="135" t="s">
        <v>59</v>
      </c>
      <c r="J11" s="131" t="s">
        <v>128</v>
      </c>
      <c r="K11" s="131" t="s">
        <v>64</v>
      </c>
      <c r="L11" s="734">
        <v>26.538</v>
      </c>
      <c r="M11" s="735"/>
      <c r="N11" s="816">
        <v>27.07</v>
      </c>
      <c r="O11" s="817"/>
      <c r="P11" s="810">
        <f t="shared" si="2"/>
        <v>532</v>
      </c>
      <c r="Q11" s="811"/>
      <c r="R11" s="131"/>
      <c r="S11" s="131"/>
      <c r="T11" s="141" t="s">
        <v>54</v>
      </c>
      <c r="U11" s="141" t="s">
        <v>54</v>
      </c>
      <c r="V11" s="141"/>
      <c r="W11" s="141" t="s">
        <v>54</v>
      </c>
      <c r="X11" s="54" t="s">
        <v>156</v>
      </c>
    </row>
    <row r="12" spans="1:24" ht="46.5" customHeight="1" thickBot="1" x14ac:dyDescent="0.4">
      <c r="A12" s="131">
        <v>7</v>
      </c>
      <c r="B12" s="149">
        <v>6</v>
      </c>
      <c r="C12" s="149">
        <v>0.8</v>
      </c>
      <c r="D12" s="133">
        <f t="shared" si="0"/>
        <v>7.291666666666667</v>
      </c>
      <c r="E12" s="133">
        <f t="shared" si="1"/>
        <v>78.666666666666671</v>
      </c>
      <c r="F12" s="134">
        <f>G11-G12+F11</f>
        <v>1746</v>
      </c>
      <c r="G12" s="131">
        <v>400</v>
      </c>
      <c r="H12" s="132"/>
      <c r="I12" s="135" t="s">
        <v>57</v>
      </c>
      <c r="J12" s="131" t="s">
        <v>126</v>
      </c>
      <c r="K12" s="131" t="s">
        <v>65</v>
      </c>
      <c r="L12" s="734">
        <v>20.373999999999999</v>
      </c>
      <c r="M12" s="735"/>
      <c r="N12" s="816">
        <v>21.076000000000001</v>
      </c>
      <c r="O12" s="817"/>
      <c r="P12" s="810">
        <f t="shared" si="2"/>
        <v>702.00000000000171</v>
      </c>
      <c r="Q12" s="811"/>
      <c r="R12" s="141" t="s">
        <v>54</v>
      </c>
      <c r="S12" s="141" t="s">
        <v>54</v>
      </c>
      <c r="T12" s="131"/>
      <c r="U12" s="131"/>
      <c r="V12" s="131"/>
      <c r="W12" s="131"/>
      <c r="X12" s="54"/>
    </row>
    <row r="13" spans="1:24" ht="46.5" customHeight="1" thickBot="1" x14ac:dyDescent="0.4">
      <c r="A13" s="131">
        <v>8</v>
      </c>
      <c r="B13" s="149">
        <v>6</v>
      </c>
      <c r="C13" s="149">
        <v>0.8</v>
      </c>
      <c r="D13" s="133">
        <f t="shared" si="0"/>
        <v>2.0833333333333335</v>
      </c>
      <c r="E13" s="133">
        <f t="shared" si="1"/>
        <v>86.75</v>
      </c>
      <c r="F13" s="134">
        <f t="shared" ref="F13:F14" si="3">G12-G13+F12</f>
        <v>1846</v>
      </c>
      <c r="G13" s="131">
        <v>300</v>
      </c>
      <c r="H13" s="132"/>
      <c r="I13" s="135" t="s">
        <v>69</v>
      </c>
      <c r="J13" s="131" t="s">
        <v>135</v>
      </c>
      <c r="K13" s="131" t="s">
        <v>65</v>
      </c>
      <c r="L13" s="734">
        <v>0.97660000000000002</v>
      </c>
      <c r="M13" s="735"/>
      <c r="N13" s="816">
        <v>1.7282999999999999</v>
      </c>
      <c r="O13" s="817"/>
      <c r="P13" s="810">
        <f t="shared" si="2"/>
        <v>751.69999999999993</v>
      </c>
      <c r="Q13" s="811"/>
      <c r="R13" s="141" t="s">
        <v>54</v>
      </c>
      <c r="S13" s="141" t="s">
        <v>54</v>
      </c>
      <c r="T13" s="131"/>
      <c r="U13" s="131"/>
      <c r="V13" s="131"/>
      <c r="W13" s="131"/>
      <c r="X13" s="143" t="s">
        <v>154</v>
      </c>
    </row>
    <row r="14" spans="1:24" ht="46.5" customHeight="1" thickBot="1" x14ac:dyDescent="0.4">
      <c r="A14" s="131">
        <v>9</v>
      </c>
      <c r="B14" s="149">
        <v>6</v>
      </c>
      <c r="C14" s="149">
        <v>0.8</v>
      </c>
      <c r="D14" s="133">
        <f t="shared" si="0"/>
        <v>2.0833333333333335</v>
      </c>
      <c r="E14" s="133">
        <f>E13+B14+D14</f>
        <v>94.833333333333329</v>
      </c>
      <c r="F14" s="134">
        <f t="shared" si="3"/>
        <v>1946</v>
      </c>
      <c r="G14" s="131">
        <v>200</v>
      </c>
      <c r="H14" s="132"/>
      <c r="I14" s="135" t="s">
        <v>68</v>
      </c>
      <c r="J14" s="131" t="s">
        <v>134</v>
      </c>
      <c r="K14" s="131" t="s">
        <v>65</v>
      </c>
      <c r="L14" s="734">
        <v>172.21</v>
      </c>
      <c r="M14" s="735"/>
      <c r="N14" s="816">
        <v>173.00399999999999</v>
      </c>
      <c r="O14" s="817"/>
      <c r="P14" s="810">
        <f t="shared" si="2"/>
        <v>793.99999999998272</v>
      </c>
      <c r="Q14" s="811"/>
      <c r="R14" s="141" t="s">
        <v>54</v>
      </c>
      <c r="S14" s="141" t="s">
        <v>54</v>
      </c>
      <c r="T14" s="131"/>
      <c r="U14" s="131"/>
      <c r="V14" s="131"/>
      <c r="W14" s="131"/>
      <c r="X14" s="54" t="s">
        <v>152</v>
      </c>
    </row>
    <row r="15" spans="1:24" ht="46.5" customHeight="1" thickBot="1" x14ac:dyDescent="0.4">
      <c r="A15" s="131">
        <v>10</v>
      </c>
      <c r="B15" s="149">
        <v>6</v>
      </c>
      <c r="C15" s="149">
        <v>0.8</v>
      </c>
      <c r="D15" s="133">
        <f t="shared" si="0"/>
        <v>1.0416666666666667</v>
      </c>
      <c r="E15" s="133">
        <f>E14+B15+D15</f>
        <v>101.875</v>
      </c>
      <c r="F15" s="134">
        <f>G14-G15+F14</f>
        <v>1996</v>
      </c>
      <c r="G15" s="131">
        <v>150</v>
      </c>
      <c r="H15" s="132"/>
      <c r="I15" s="135" t="s">
        <v>61</v>
      </c>
      <c r="J15" s="131" t="s">
        <v>127</v>
      </c>
      <c r="K15" s="131" t="s">
        <v>65</v>
      </c>
      <c r="L15" s="734">
        <v>41.777999999999999</v>
      </c>
      <c r="M15" s="735"/>
      <c r="N15" s="816">
        <v>42.506</v>
      </c>
      <c r="O15" s="817"/>
      <c r="P15" s="810">
        <f t="shared" si="2"/>
        <v>728.00000000000159</v>
      </c>
      <c r="Q15" s="811"/>
      <c r="R15" s="141" t="s">
        <v>54</v>
      </c>
      <c r="S15" s="141" t="s">
        <v>54</v>
      </c>
      <c r="T15" s="131"/>
      <c r="U15" s="131"/>
      <c r="V15" s="131"/>
      <c r="W15" s="131"/>
      <c r="X15" s="54" t="s">
        <v>153</v>
      </c>
    </row>
    <row r="16" spans="1:24" ht="46.5" customHeight="1" thickBot="1" x14ac:dyDescent="0.4">
      <c r="A16" s="131">
        <v>11</v>
      </c>
      <c r="B16" s="149">
        <v>6</v>
      </c>
      <c r="C16" s="149">
        <v>0.8</v>
      </c>
      <c r="D16" s="133">
        <f t="shared" ref="D16:D17" si="4">(F16-F15)/C16/60</f>
        <v>0.625</v>
      </c>
      <c r="E16" s="133">
        <f t="shared" ref="E16:E17" si="5">E15+B16+D16</f>
        <v>108.5</v>
      </c>
      <c r="F16" s="134">
        <f t="shared" ref="F16" si="6">G15-G16+F15</f>
        <v>2026</v>
      </c>
      <c r="G16" s="131">
        <v>120</v>
      </c>
      <c r="H16" s="132"/>
      <c r="I16" s="135" t="s">
        <v>67</v>
      </c>
      <c r="J16" s="140" t="s">
        <v>133</v>
      </c>
      <c r="K16" s="131" t="s">
        <v>65</v>
      </c>
      <c r="L16" s="816">
        <v>69.933000000000007</v>
      </c>
      <c r="M16" s="817"/>
      <c r="N16" s="816">
        <v>70.650000000000006</v>
      </c>
      <c r="O16" s="817"/>
      <c r="P16" s="810">
        <f t="shared" si="2"/>
        <v>716.99999999999875</v>
      </c>
      <c r="Q16" s="811"/>
      <c r="R16" s="141" t="s">
        <v>54</v>
      </c>
      <c r="S16" s="141" t="s">
        <v>54</v>
      </c>
      <c r="T16" s="131"/>
      <c r="U16" s="131"/>
      <c r="V16" s="131"/>
      <c r="W16" s="131"/>
      <c r="X16" s="54"/>
    </row>
    <row r="17" spans="1:26" ht="46.5" customHeight="1" x14ac:dyDescent="0.35">
      <c r="A17" s="806">
        <v>12</v>
      </c>
      <c r="B17" s="806">
        <v>6</v>
      </c>
      <c r="C17" s="806">
        <v>0.8</v>
      </c>
      <c r="D17" s="807">
        <f t="shared" si="4"/>
        <v>0.52083333333333337</v>
      </c>
      <c r="E17" s="807">
        <f t="shared" si="5"/>
        <v>115.02083333333333</v>
      </c>
      <c r="F17" s="808">
        <f>G16-G17+F16</f>
        <v>2051</v>
      </c>
      <c r="G17" s="806">
        <v>95</v>
      </c>
      <c r="H17" s="809"/>
      <c r="I17" s="837" t="s">
        <v>23</v>
      </c>
      <c r="J17" s="148" t="s">
        <v>150</v>
      </c>
      <c r="K17" s="148" t="s">
        <v>64</v>
      </c>
      <c r="L17" s="812">
        <v>1.3241000000000001</v>
      </c>
      <c r="M17" s="813"/>
      <c r="N17" s="812">
        <v>1.5107999999999999</v>
      </c>
      <c r="O17" s="813"/>
      <c r="P17" s="812">
        <f t="shared" ref="P17:P22" si="7">(N17-L17)*1000</f>
        <v>186.69999999999987</v>
      </c>
      <c r="Q17" s="813"/>
      <c r="R17" s="148"/>
      <c r="S17" s="148"/>
      <c r="T17" s="142" t="s">
        <v>54</v>
      </c>
      <c r="U17" s="142" t="s">
        <v>54</v>
      </c>
      <c r="V17" s="142"/>
      <c r="W17" s="142" t="s">
        <v>54</v>
      </c>
      <c r="X17" s="166"/>
    </row>
    <row r="18" spans="1:26" ht="46.5" customHeight="1" x14ac:dyDescent="0.35">
      <c r="A18" s="742"/>
      <c r="B18" s="742"/>
      <c r="C18" s="742"/>
      <c r="D18" s="789"/>
      <c r="E18" s="789"/>
      <c r="F18" s="791"/>
      <c r="G18" s="742"/>
      <c r="H18" s="784"/>
      <c r="I18" s="801"/>
      <c r="J18" s="157" t="s">
        <v>151</v>
      </c>
      <c r="K18" s="157" t="s">
        <v>65</v>
      </c>
      <c r="L18" s="814">
        <v>1.1100000000000001</v>
      </c>
      <c r="M18" s="815"/>
      <c r="N18" s="814">
        <v>1.6459999999999999</v>
      </c>
      <c r="O18" s="815"/>
      <c r="P18" s="814">
        <f t="shared" si="7"/>
        <v>535.99999999999977</v>
      </c>
      <c r="Q18" s="815"/>
      <c r="R18" s="167" t="s">
        <v>54</v>
      </c>
      <c r="S18" s="167" t="s">
        <v>54</v>
      </c>
      <c r="T18" s="157"/>
      <c r="U18" s="157"/>
      <c r="V18" s="157"/>
      <c r="W18" s="157"/>
      <c r="X18" s="159" t="s">
        <v>152</v>
      </c>
    </row>
    <row r="19" spans="1:26" ht="46.5" customHeight="1" thickBot="1" x14ac:dyDescent="0.4">
      <c r="A19" s="743"/>
      <c r="B19" s="743"/>
      <c r="C19" s="743"/>
      <c r="D19" s="790"/>
      <c r="E19" s="790"/>
      <c r="F19" s="792"/>
      <c r="G19" s="743"/>
      <c r="H19" s="785"/>
      <c r="I19" s="802"/>
      <c r="J19" s="158" t="s">
        <v>179</v>
      </c>
      <c r="K19" s="158"/>
      <c r="L19" s="810">
        <v>2.2141999999999999</v>
      </c>
      <c r="M19" s="811"/>
      <c r="N19" s="810">
        <v>3.0347</v>
      </c>
      <c r="O19" s="811"/>
      <c r="P19" s="810">
        <f t="shared" si="7"/>
        <v>820.5</v>
      </c>
      <c r="Q19" s="811"/>
      <c r="R19" s="168"/>
      <c r="S19" s="168"/>
      <c r="T19" s="158"/>
      <c r="U19" s="158"/>
      <c r="V19" s="158"/>
      <c r="W19" s="158"/>
      <c r="X19" s="160"/>
    </row>
    <row r="20" spans="1:26" ht="46.5" customHeight="1" x14ac:dyDescent="0.35">
      <c r="A20" s="806">
        <v>13</v>
      </c>
      <c r="B20" s="806">
        <v>6</v>
      </c>
      <c r="C20" s="806">
        <v>0.8</v>
      </c>
      <c r="D20" s="807">
        <f>(F20-F18)/C20/60</f>
        <v>44.083333333333336</v>
      </c>
      <c r="E20" s="807">
        <f>E18+B20+D20</f>
        <v>50.083333333333336</v>
      </c>
      <c r="F20" s="820">
        <f>G17-G20+F17</f>
        <v>2116</v>
      </c>
      <c r="G20" s="823">
        <v>30</v>
      </c>
      <c r="H20" s="824"/>
      <c r="I20" s="834" t="s">
        <v>27</v>
      </c>
      <c r="J20" s="150" t="s">
        <v>150</v>
      </c>
      <c r="K20" s="150" t="s">
        <v>64</v>
      </c>
      <c r="L20" s="812">
        <v>2.2155</v>
      </c>
      <c r="M20" s="813"/>
      <c r="N20" s="812">
        <v>2.3384999999999998</v>
      </c>
      <c r="O20" s="813"/>
      <c r="P20" s="812">
        <f t="shared" si="7"/>
        <v>122.99999999999977</v>
      </c>
      <c r="Q20" s="813"/>
      <c r="R20" s="150"/>
      <c r="S20" s="150"/>
      <c r="T20" s="169" t="s">
        <v>54</v>
      </c>
      <c r="U20" s="169" t="s">
        <v>54</v>
      </c>
      <c r="V20" s="169"/>
      <c r="W20" s="169" t="s">
        <v>54</v>
      </c>
      <c r="X20" s="170" t="s">
        <v>155</v>
      </c>
    </row>
    <row r="21" spans="1:26" ht="46.5" customHeight="1" x14ac:dyDescent="0.35">
      <c r="A21" s="742"/>
      <c r="B21" s="742"/>
      <c r="C21" s="742"/>
      <c r="D21" s="789"/>
      <c r="E21" s="789"/>
      <c r="F21" s="821"/>
      <c r="G21" s="740"/>
      <c r="H21" s="825"/>
      <c r="I21" s="835"/>
      <c r="J21" s="157" t="s">
        <v>151</v>
      </c>
      <c r="K21" s="157" t="s">
        <v>65</v>
      </c>
      <c r="L21" s="814">
        <v>1.7642</v>
      </c>
      <c r="M21" s="815"/>
      <c r="N21" s="814">
        <v>2.1715</v>
      </c>
      <c r="O21" s="815"/>
      <c r="P21" s="814">
        <f t="shared" si="7"/>
        <v>407.3</v>
      </c>
      <c r="Q21" s="815"/>
      <c r="R21" s="167" t="s">
        <v>54</v>
      </c>
      <c r="S21" s="167" t="s">
        <v>54</v>
      </c>
      <c r="T21" s="157"/>
      <c r="U21" s="157"/>
      <c r="V21" s="157"/>
      <c r="W21" s="157"/>
      <c r="X21" s="159" t="s">
        <v>152</v>
      </c>
    </row>
    <row r="22" spans="1:26" ht="46.5" customHeight="1" thickBot="1" x14ac:dyDescent="0.4">
      <c r="A22" s="743"/>
      <c r="B22" s="743"/>
      <c r="C22" s="743"/>
      <c r="D22" s="790"/>
      <c r="E22" s="790"/>
      <c r="F22" s="822"/>
      <c r="G22" s="741"/>
      <c r="H22" s="826"/>
      <c r="I22" s="836"/>
      <c r="J22" s="158" t="s">
        <v>179</v>
      </c>
      <c r="K22" s="158"/>
      <c r="L22" s="810">
        <v>3.7652000000000001</v>
      </c>
      <c r="M22" s="811"/>
      <c r="N22" s="810">
        <v>4.2931999999999997</v>
      </c>
      <c r="O22" s="811"/>
      <c r="P22" s="810">
        <f t="shared" si="7"/>
        <v>527.99999999999955</v>
      </c>
      <c r="Q22" s="811"/>
      <c r="R22" s="168"/>
      <c r="S22" s="168"/>
      <c r="T22" s="158"/>
      <c r="U22" s="158"/>
      <c r="V22" s="158"/>
      <c r="W22" s="158"/>
      <c r="X22" s="160"/>
    </row>
    <row r="23" spans="1:26" ht="47.9" customHeight="1" thickBot="1" x14ac:dyDescent="0.65">
      <c r="A23" s="24" t="s">
        <v>10</v>
      </c>
      <c r="B23" s="129">
        <f>SUM(B6:B15)</f>
        <v>60</v>
      </c>
      <c r="C23" s="129"/>
      <c r="D23" s="7">
        <f>SUM(D6:D15)</f>
        <v>41.875</v>
      </c>
      <c r="E23" s="7"/>
      <c r="F23" s="134">
        <f>G15+F15</f>
        <v>2146</v>
      </c>
      <c r="G23" s="827" t="s">
        <v>18</v>
      </c>
      <c r="H23" s="828"/>
      <c r="I23" s="828"/>
      <c r="J23" s="22"/>
      <c r="K23" s="97" t="s">
        <v>103</v>
      </c>
      <c r="L23" s="838" t="s">
        <v>102</v>
      </c>
      <c r="M23" s="838"/>
      <c r="N23" s="838" t="s">
        <v>53</v>
      </c>
      <c r="O23" s="838"/>
      <c r="X23" s="120">
        <f>SUM(P6:Q16,P19,P22)</f>
        <v>8652.1999999999716</v>
      </c>
    </row>
    <row r="24" spans="1:26" ht="48.75" customHeight="1" x14ac:dyDescent="0.35">
      <c r="A24" s="26" t="s">
        <v>12</v>
      </c>
      <c r="B24" s="130">
        <f>B23/60</f>
        <v>1</v>
      </c>
      <c r="C24" s="130"/>
      <c r="D24" s="6" t="s">
        <v>14</v>
      </c>
      <c r="E24" s="6"/>
      <c r="F24" s="27"/>
      <c r="J24" s="95" t="s">
        <v>145</v>
      </c>
      <c r="K24" s="30">
        <v>44215</v>
      </c>
      <c r="L24" s="829"/>
      <c r="M24" s="830"/>
      <c r="N24" s="803">
        <v>6.9444444444444434E-2</v>
      </c>
      <c r="O24" s="803"/>
      <c r="Z24">
        <v>1</v>
      </c>
    </row>
    <row r="25" spans="1:26" ht="55.4" customHeight="1" x14ac:dyDescent="0.35">
      <c r="J25" s="96" t="s">
        <v>45</v>
      </c>
      <c r="K25" s="30">
        <f>K24</f>
        <v>44215</v>
      </c>
      <c r="L25" s="762"/>
      <c r="M25" s="766"/>
      <c r="N25" s="765"/>
      <c r="O25" s="765"/>
    </row>
    <row r="26" spans="1:26" ht="50.25" customHeight="1" x14ac:dyDescent="0.35">
      <c r="A26" s="1"/>
      <c r="B26" s="1"/>
      <c r="C26" s="1"/>
      <c r="D26" s="1"/>
      <c r="E26" s="1"/>
      <c r="F26" s="1"/>
      <c r="G26" s="1"/>
      <c r="J26" s="96" t="s">
        <v>46</v>
      </c>
      <c r="K26" s="30">
        <f>K25</f>
        <v>44215</v>
      </c>
      <c r="L26" s="762"/>
      <c r="M26" s="766"/>
      <c r="N26" s="765"/>
      <c r="O26" s="765"/>
    </row>
    <row r="27" spans="1:26" ht="50.25" customHeight="1" x14ac:dyDescent="0.35">
      <c r="A27" s="805" t="s">
        <v>52</v>
      </c>
      <c r="B27" s="805"/>
      <c r="C27" s="805"/>
      <c r="D27" s="805"/>
      <c r="E27" s="805"/>
      <c r="F27" s="805"/>
      <c r="J27" s="96" t="s">
        <v>47</v>
      </c>
      <c r="K27" s="30">
        <f>K26</f>
        <v>44215</v>
      </c>
      <c r="L27" s="762"/>
      <c r="M27" s="766"/>
      <c r="N27" s="765">
        <v>0.3125</v>
      </c>
      <c r="O27" s="765"/>
    </row>
    <row r="28" spans="1:26" ht="20" x14ac:dyDescent="0.4">
      <c r="A28" s="17" t="s">
        <v>51</v>
      </c>
      <c r="B28" s="17"/>
      <c r="C28" s="17"/>
      <c r="F28" s="22">
        <v>8</v>
      </c>
      <c r="G28" s="20" t="s">
        <v>11</v>
      </c>
      <c r="J28" s="17"/>
      <c r="K28" s="19"/>
    </row>
    <row r="29" spans="1:26" ht="60" customHeight="1" x14ac:dyDescent="0.4">
      <c r="F29" s="17"/>
      <c r="G29" s="17"/>
      <c r="J29" s="10" t="s">
        <v>50</v>
      </c>
      <c r="K29" s="31">
        <f>E15</f>
        <v>101.875</v>
      </c>
    </row>
    <row r="30" spans="1:26" ht="78" customHeight="1" x14ac:dyDescent="0.4">
      <c r="F30" s="17"/>
      <c r="G30" s="17"/>
      <c r="H30" s="17"/>
      <c r="I30" s="15"/>
      <c r="J30" s="10" t="s">
        <v>49</v>
      </c>
      <c r="K30" s="31">
        <f>D23+5*A15</f>
        <v>91.875</v>
      </c>
    </row>
    <row r="31" spans="1:26" ht="57.75" customHeight="1" x14ac:dyDescent="0.4">
      <c r="A31" s="19"/>
      <c r="B31" s="20"/>
      <c r="C31" s="17"/>
      <c r="I31" s="9"/>
      <c r="J31" s="1"/>
      <c r="K31" s="1"/>
      <c r="L31" s="1"/>
      <c r="M31" s="2"/>
      <c r="N31" s="2"/>
    </row>
    <row r="32" spans="1:26" ht="20" x14ac:dyDescent="0.4">
      <c r="C32" s="17"/>
      <c r="D32" s="17"/>
      <c r="E32" s="17" t="s">
        <v>14</v>
      </c>
      <c r="F32" s="17"/>
      <c r="I32" s="15"/>
      <c r="J32" s="1"/>
      <c r="K32" s="1"/>
      <c r="L32" s="1"/>
      <c r="M32" s="2"/>
      <c r="N32" s="2"/>
    </row>
    <row r="33" spans="1:23" ht="20" x14ac:dyDescent="0.4">
      <c r="A33" s="19"/>
      <c r="B33" s="20"/>
      <c r="C33" s="17"/>
      <c r="D33" s="17"/>
      <c r="E33" s="23"/>
      <c r="F33" s="17"/>
      <c r="G33" s="17"/>
      <c r="H33" s="17"/>
      <c r="I33" s="15"/>
      <c r="J33" s="1"/>
      <c r="K33" s="1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20" x14ac:dyDescent="0.4">
      <c r="A34" s="19"/>
      <c r="B34" s="20"/>
      <c r="C34" s="17"/>
      <c r="D34" s="17"/>
      <c r="E34" s="17"/>
      <c r="F34" s="17"/>
      <c r="G34" s="17"/>
      <c r="H34" s="17"/>
      <c r="I34" s="15"/>
      <c r="J34" s="1"/>
      <c r="K34" s="1"/>
      <c r="L34" s="1"/>
      <c r="M34" s="2"/>
      <c r="N34" s="2"/>
    </row>
    <row r="35" spans="1:23" ht="18.5" x14ac:dyDescent="0.45">
      <c r="A35" s="16"/>
      <c r="B35" s="16"/>
      <c r="C35" s="16"/>
      <c r="D35" s="16"/>
      <c r="E35" s="16"/>
      <c r="F35" s="16"/>
      <c r="G35" s="16"/>
      <c r="H35" s="16"/>
      <c r="I35" s="16"/>
    </row>
  </sheetData>
  <mergeCells count="85">
    <mergeCell ref="N23:O23"/>
    <mergeCell ref="L23:M23"/>
    <mergeCell ref="P18:Q18"/>
    <mergeCell ref="P19:Q19"/>
    <mergeCell ref="P20:Q20"/>
    <mergeCell ref="P21:Q21"/>
    <mergeCell ref="P22:Q22"/>
    <mergeCell ref="I20:I22"/>
    <mergeCell ref="L17:M17"/>
    <mergeCell ref="L18:M18"/>
    <mergeCell ref="L19:M19"/>
    <mergeCell ref="L20:M20"/>
    <mergeCell ref="L21:M21"/>
    <mergeCell ref="L22:M22"/>
    <mergeCell ref="I17:I19"/>
    <mergeCell ref="M3:P3"/>
    <mergeCell ref="L5:M5"/>
    <mergeCell ref="L6:M6"/>
    <mergeCell ref="L7:M7"/>
    <mergeCell ref="L8:M8"/>
    <mergeCell ref="N5:O5"/>
    <mergeCell ref="N6:O6"/>
    <mergeCell ref="N7:O7"/>
    <mergeCell ref="N8:O8"/>
    <mergeCell ref="G23:I23"/>
    <mergeCell ref="L24:M24"/>
    <mergeCell ref="L25:M25"/>
    <mergeCell ref="L26:M26"/>
    <mergeCell ref="A27:F27"/>
    <mergeCell ref="L27:M27"/>
    <mergeCell ref="A17:A19"/>
    <mergeCell ref="B17:B19"/>
    <mergeCell ref="C17:C19"/>
    <mergeCell ref="D17:D19"/>
    <mergeCell ref="A20:A22"/>
    <mergeCell ref="B20:B22"/>
    <mergeCell ref="C20:C22"/>
    <mergeCell ref="D20:D22"/>
    <mergeCell ref="E17:E19"/>
    <mergeCell ref="F17:F19"/>
    <mergeCell ref="G17:G19"/>
    <mergeCell ref="H17:H19"/>
    <mergeCell ref="E20:E22"/>
    <mergeCell ref="F20:F22"/>
    <mergeCell ref="G20:G22"/>
    <mergeCell ref="H20:H22"/>
    <mergeCell ref="N9:O9"/>
    <mergeCell ref="N10:O10"/>
    <mergeCell ref="N11:O11"/>
    <mergeCell ref="N12:O12"/>
    <mergeCell ref="L10:M10"/>
    <mergeCell ref="L11:M11"/>
    <mergeCell ref="L12:M12"/>
    <mergeCell ref="L13:M13"/>
    <mergeCell ref="L14:M14"/>
    <mergeCell ref="L15:M15"/>
    <mergeCell ref="L16:M16"/>
    <mergeCell ref="P5:Q5"/>
    <mergeCell ref="P6:Q6"/>
    <mergeCell ref="P7:Q7"/>
    <mergeCell ref="P8:Q8"/>
    <mergeCell ref="P9:Q9"/>
    <mergeCell ref="L9:M9"/>
    <mergeCell ref="P15:Q15"/>
    <mergeCell ref="N13:O13"/>
    <mergeCell ref="N14:O14"/>
    <mergeCell ref="N15:O15"/>
    <mergeCell ref="N16:O16"/>
    <mergeCell ref="P10:Q10"/>
    <mergeCell ref="N24:O24"/>
    <mergeCell ref="N25:O25"/>
    <mergeCell ref="N26:O26"/>
    <mergeCell ref="N27:O27"/>
    <mergeCell ref="P11:Q11"/>
    <mergeCell ref="P12:Q12"/>
    <mergeCell ref="P13:Q13"/>
    <mergeCell ref="P14:Q14"/>
    <mergeCell ref="P16:Q16"/>
    <mergeCell ref="N17:O17"/>
    <mergeCell ref="N18:O18"/>
    <mergeCell ref="N19:O19"/>
    <mergeCell ref="N20:O20"/>
    <mergeCell ref="N21:O21"/>
    <mergeCell ref="N22:O22"/>
    <mergeCell ref="P17:Q17"/>
  </mergeCells>
  <pageMargins left="0.7" right="0.7" top="0.75" bottom="0.75" header="0.3" footer="0.3"/>
  <pageSetup paperSize="9" scale="32" orientation="landscape" r:id="rId1"/>
  <rowBreaks count="1" manualBreakCount="1">
    <brk id="22" max="16383" man="1"/>
  </rowBreaks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zoomScale="40" zoomScaleNormal="40" workbookViewId="0">
      <selection activeCell="Q16" sqref="Q16"/>
    </sheetView>
  </sheetViews>
  <sheetFormatPr defaultColWidth="11.453125" defaultRowHeight="14.5" x14ac:dyDescent="0.35"/>
  <cols>
    <col min="1" max="1" width="12.08984375" customWidth="1"/>
    <col min="2" max="2" width="13" customWidth="1"/>
    <col min="3" max="3" width="15.453125" customWidth="1"/>
    <col min="4" max="5" width="14.453125" customWidth="1"/>
    <col min="6" max="6" width="19.90625" customWidth="1"/>
    <col min="7" max="7" width="13.453125" customWidth="1"/>
    <col min="8" max="8" width="13.90625" customWidth="1"/>
    <col min="9" max="9" width="23.08984375" bestFit="1" customWidth="1"/>
    <col min="10" max="10" width="21.08984375" customWidth="1"/>
    <col min="11" max="11" width="19.453125" bestFit="1" customWidth="1"/>
    <col min="12" max="12" width="11.453125" customWidth="1"/>
    <col min="13" max="13" width="10" customWidth="1"/>
    <col min="14" max="14" width="25.453125" customWidth="1"/>
    <col min="15" max="15" width="19" customWidth="1"/>
    <col min="16" max="16" width="9.08984375" customWidth="1"/>
    <col min="17" max="17" width="66.453125" customWidth="1"/>
    <col min="18" max="18" width="10.453125" customWidth="1"/>
    <col min="19" max="19" width="10.453125" bestFit="1" customWidth="1"/>
    <col min="20" max="20" width="34.453125" customWidth="1"/>
  </cols>
  <sheetData>
    <row r="1" spans="1:17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</row>
    <row r="2" spans="1:17" ht="41.25" customHeight="1" x14ac:dyDescent="0.65">
      <c r="A2" s="84" t="s">
        <v>36</v>
      </c>
      <c r="B2" s="83"/>
      <c r="C2" s="98" t="s">
        <v>165</v>
      </c>
      <c r="D2" s="83"/>
      <c r="H2" s="91" t="s">
        <v>96</v>
      </c>
      <c r="I2" s="88" t="s">
        <v>141</v>
      </c>
      <c r="J2" s="89" t="s">
        <v>99</v>
      </c>
      <c r="K2" s="1"/>
      <c r="L2" s="1"/>
      <c r="M2" s="2"/>
      <c r="N2" s="2"/>
      <c r="O2" s="2"/>
    </row>
    <row r="3" spans="1:17" ht="30" x14ac:dyDescent="0.6">
      <c r="A3" s="119" t="s">
        <v>136</v>
      </c>
      <c r="B3" s="120"/>
      <c r="C3" s="121">
        <v>2182</v>
      </c>
      <c r="D3" s="122" t="s">
        <v>11</v>
      </c>
      <c r="E3" s="1"/>
      <c r="F3" s="1"/>
      <c r="G3" s="1"/>
      <c r="H3" s="92" t="s">
        <v>97</v>
      </c>
      <c r="I3" s="88" t="s">
        <v>142</v>
      </c>
      <c r="J3" s="89" t="s">
        <v>100</v>
      </c>
      <c r="K3" s="1"/>
      <c r="L3" s="1"/>
      <c r="M3" s="778" t="s">
        <v>146</v>
      </c>
      <c r="N3" s="779"/>
      <c r="O3" s="780"/>
    </row>
    <row r="4" spans="1:17" ht="20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Q4" s="13" t="s">
        <v>48</v>
      </c>
    </row>
    <row r="5" spans="1:17" ht="62.5" x14ac:dyDescent="0.35">
      <c r="A5" s="10" t="s">
        <v>98</v>
      </c>
      <c r="B5" s="10" t="s">
        <v>0</v>
      </c>
      <c r="C5" s="10" t="s">
        <v>17</v>
      </c>
      <c r="D5" s="10" t="s">
        <v>1</v>
      </c>
      <c r="E5" s="11" t="s">
        <v>2</v>
      </c>
      <c r="F5" s="12" t="s">
        <v>3</v>
      </c>
      <c r="G5" s="13" t="s">
        <v>4</v>
      </c>
      <c r="H5" s="13" t="s">
        <v>5</v>
      </c>
      <c r="I5" s="93" t="s">
        <v>16</v>
      </c>
      <c r="J5" s="94" t="s">
        <v>15</v>
      </c>
      <c r="K5" s="94" t="s">
        <v>66</v>
      </c>
      <c r="L5" s="842" t="s">
        <v>143</v>
      </c>
      <c r="M5" s="843"/>
      <c r="N5" s="93" t="s">
        <v>144</v>
      </c>
      <c r="O5" s="10" t="s">
        <v>8</v>
      </c>
      <c r="P5" s="10" t="s">
        <v>137</v>
      </c>
      <c r="Q5" s="53"/>
    </row>
    <row r="6" spans="1:17" ht="46.5" customHeight="1" thickBot="1" x14ac:dyDescent="0.4">
      <c r="A6" s="106">
        <v>1</v>
      </c>
      <c r="B6" s="106">
        <v>5</v>
      </c>
      <c r="C6" s="106">
        <v>1</v>
      </c>
      <c r="D6" s="110">
        <f>ABS(F6/C6/60)</f>
        <v>0.11666666666666667</v>
      </c>
      <c r="E6" s="110">
        <f>D6+B6</f>
        <v>5.1166666666666663</v>
      </c>
      <c r="F6" s="111">
        <v>-7</v>
      </c>
      <c r="G6" s="106">
        <v>2147</v>
      </c>
      <c r="H6" s="112"/>
      <c r="I6" s="113" t="s">
        <v>57</v>
      </c>
      <c r="J6" s="113" t="s">
        <v>126</v>
      </c>
      <c r="K6" s="106" t="s">
        <v>64</v>
      </c>
      <c r="L6" s="734">
        <v>21.08</v>
      </c>
      <c r="M6" s="735"/>
      <c r="N6" s="106">
        <v>21.946000000000002</v>
      </c>
      <c r="O6" s="106">
        <f>(N6-L6)*1000</f>
        <v>866.00000000000318</v>
      </c>
      <c r="P6" s="106" t="s">
        <v>140</v>
      </c>
      <c r="Q6" s="54" t="s">
        <v>147</v>
      </c>
    </row>
    <row r="7" spans="1:17" ht="46.5" customHeight="1" thickBot="1" x14ac:dyDescent="0.4">
      <c r="A7" s="106">
        <v>2</v>
      </c>
      <c r="B7" s="106">
        <v>5</v>
      </c>
      <c r="C7" s="106">
        <v>1</v>
      </c>
      <c r="D7" s="110">
        <f t="shared" ref="D7:D15" si="0">(F7-F6)/C7/60</f>
        <v>0.78333333333333333</v>
      </c>
      <c r="E7" s="110">
        <f t="shared" ref="E7:E12" si="1">E6+B7+D7</f>
        <v>10.9</v>
      </c>
      <c r="F7" s="111">
        <f>G$6-G7-$F$21+1</f>
        <v>40</v>
      </c>
      <c r="G7" s="106">
        <v>2100</v>
      </c>
      <c r="H7" s="112"/>
      <c r="I7" s="113" t="s">
        <v>61</v>
      </c>
      <c r="J7" s="113" t="s">
        <v>127</v>
      </c>
      <c r="K7" s="106" t="s">
        <v>64</v>
      </c>
      <c r="L7" s="734">
        <v>42.506999999999998</v>
      </c>
      <c r="M7" s="735"/>
      <c r="N7" s="106">
        <v>43.514000000000003</v>
      </c>
      <c r="O7" s="124">
        <f t="shared" ref="O7:O14" si="2">(N7-L7)*1000</f>
        <v>1007.000000000005</v>
      </c>
      <c r="P7" s="118" t="s">
        <v>140</v>
      </c>
      <c r="Q7" s="54" t="s">
        <v>147</v>
      </c>
    </row>
    <row r="8" spans="1:17" ht="46.5" customHeight="1" thickBot="1" x14ac:dyDescent="0.4">
      <c r="A8" s="106">
        <v>3</v>
      </c>
      <c r="B8" s="106">
        <v>5</v>
      </c>
      <c r="C8" s="118">
        <v>1</v>
      </c>
      <c r="D8" s="110">
        <f t="shared" si="0"/>
        <v>5.833333333333333</v>
      </c>
      <c r="E8" s="110">
        <f t="shared" si="1"/>
        <v>21.733333333333334</v>
      </c>
      <c r="F8" s="111">
        <f>G$7-G8+F7</f>
        <v>390</v>
      </c>
      <c r="G8" s="106">
        <v>1750</v>
      </c>
      <c r="H8" s="112"/>
      <c r="I8" s="113" t="s">
        <v>59</v>
      </c>
      <c r="J8" s="106" t="s">
        <v>128</v>
      </c>
      <c r="K8" s="106" t="s">
        <v>64</v>
      </c>
      <c r="L8" s="734">
        <v>27.071999999999999</v>
      </c>
      <c r="M8" s="735"/>
      <c r="N8" s="106">
        <v>28.085000000000001</v>
      </c>
      <c r="O8" s="124">
        <f t="shared" si="2"/>
        <v>1013.0000000000017</v>
      </c>
      <c r="P8" s="118" t="s">
        <v>140</v>
      </c>
      <c r="Q8" s="54" t="s">
        <v>147</v>
      </c>
    </row>
    <row r="9" spans="1:17" ht="46.5" customHeight="1" thickBot="1" x14ac:dyDescent="0.4">
      <c r="A9" s="106">
        <v>4</v>
      </c>
      <c r="B9" s="106">
        <v>5</v>
      </c>
      <c r="C9" s="118">
        <v>1</v>
      </c>
      <c r="D9" s="110">
        <f t="shared" si="0"/>
        <v>4.5</v>
      </c>
      <c r="E9" s="110">
        <f t="shared" si="1"/>
        <v>31.233333333333334</v>
      </c>
      <c r="F9" s="111">
        <f>G8-G9+F8</f>
        <v>660</v>
      </c>
      <c r="G9" s="106">
        <v>1480</v>
      </c>
      <c r="H9" s="112"/>
      <c r="I9" s="113" t="s">
        <v>60</v>
      </c>
      <c r="J9" s="106" t="s">
        <v>129</v>
      </c>
      <c r="K9" s="106" t="s">
        <v>64</v>
      </c>
      <c r="L9" s="734">
        <v>45.423999999999999</v>
      </c>
      <c r="M9" s="735"/>
      <c r="N9" s="106">
        <v>46.292000000000002</v>
      </c>
      <c r="O9" s="124">
        <f t="shared" si="2"/>
        <v>868.00000000000205</v>
      </c>
      <c r="P9" s="118" t="s">
        <v>140</v>
      </c>
      <c r="Q9" s="54" t="s">
        <v>147</v>
      </c>
    </row>
    <row r="10" spans="1:17" ht="46.5" customHeight="1" thickBot="1" x14ac:dyDescent="0.4">
      <c r="A10" s="106">
        <v>5</v>
      </c>
      <c r="B10" s="106">
        <v>5</v>
      </c>
      <c r="C10" s="118">
        <v>1</v>
      </c>
      <c r="D10" s="110">
        <f t="shared" si="0"/>
        <v>7.666666666666667</v>
      </c>
      <c r="E10" s="110">
        <f t="shared" si="1"/>
        <v>43.9</v>
      </c>
      <c r="F10" s="111">
        <f>G9-G10+F9</f>
        <v>1120</v>
      </c>
      <c r="G10" s="106">
        <v>1020</v>
      </c>
      <c r="H10" s="112"/>
      <c r="I10" s="113" t="s">
        <v>122</v>
      </c>
      <c r="J10" s="106" t="s">
        <v>130</v>
      </c>
      <c r="K10" s="106" t="s">
        <v>64</v>
      </c>
      <c r="L10" s="734">
        <v>3.0270000000000001</v>
      </c>
      <c r="M10" s="735"/>
      <c r="N10" s="106">
        <v>4.1849999999999996</v>
      </c>
      <c r="O10" s="124">
        <f t="shared" si="2"/>
        <v>1157.9999999999995</v>
      </c>
      <c r="P10" s="118" t="s">
        <v>140</v>
      </c>
      <c r="Q10" s="54" t="s">
        <v>147</v>
      </c>
    </row>
    <row r="11" spans="1:17" ht="46.5" customHeight="1" thickBot="1" x14ac:dyDescent="0.4">
      <c r="A11" s="106">
        <v>6</v>
      </c>
      <c r="B11" s="106">
        <v>5</v>
      </c>
      <c r="C11" s="118">
        <v>1</v>
      </c>
      <c r="D11" s="110">
        <f t="shared" si="0"/>
        <v>4.5</v>
      </c>
      <c r="E11" s="110">
        <f t="shared" si="1"/>
        <v>53.4</v>
      </c>
      <c r="F11" s="111">
        <f>G10-G11+F10</f>
        <v>1390</v>
      </c>
      <c r="G11" s="106">
        <v>750</v>
      </c>
      <c r="H11" s="112"/>
      <c r="I11" s="113" t="s">
        <v>118</v>
      </c>
      <c r="J11" s="106" t="s">
        <v>131</v>
      </c>
      <c r="K11" s="106" t="s">
        <v>64</v>
      </c>
      <c r="L11" s="734">
        <v>65.191000000000003</v>
      </c>
      <c r="M11" s="735"/>
      <c r="N11" s="106">
        <v>66.238</v>
      </c>
      <c r="O11" s="124">
        <f t="shared" si="2"/>
        <v>1046.999999999997</v>
      </c>
      <c r="P11" s="118" t="s">
        <v>140</v>
      </c>
      <c r="Q11" s="54" t="s">
        <v>147</v>
      </c>
    </row>
    <row r="12" spans="1:17" ht="46.5" customHeight="1" thickBot="1" x14ac:dyDescent="0.4">
      <c r="A12" s="106">
        <v>7</v>
      </c>
      <c r="B12" s="106">
        <v>5</v>
      </c>
      <c r="C12" s="118">
        <v>1</v>
      </c>
      <c r="D12" s="110">
        <f t="shared" si="0"/>
        <v>4.166666666666667</v>
      </c>
      <c r="E12" s="110">
        <f t="shared" si="1"/>
        <v>62.566666666666663</v>
      </c>
      <c r="F12" s="111">
        <f>G11-G12+F11</f>
        <v>1640</v>
      </c>
      <c r="G12" s="106">
        <v>500</v>
      </c>
      <c r="H12" s="112"/>
      <c r="I12" s="113" t="s">
        <v>123</v>
      </c>
      <c r="J12" s="106" t="s">
        <v>132</v>
      </c>
      <c r="K12" s="106" t="s">
        <v>64</v>
      </c>
      <c r="L12" s="734">
        <v>90.361999999999995</v>
      </c>
      <c r="M12" s="735"/>
      <c r="N12" s="106">
        <v>91.510999999999996</v>
      </c>
      <c r="O12" s="124">
        <f t="shared" si="2"/>
        <v>1149.0000000000009</v>
      </c>
      <c r="P12" s="118" t="s">
        <v>140</v>
      </c>
      <c r="Q12" s="54" t="s">
        <v>147</v>
      </c>
    </row>
    <row r="13" spans="1:17" ht="46.5" customHeight="1" thickBot="1" x14ac:dyDescent="0.4">
      <c r="A13" s="106">
        <v>8</v>
      </c>
      <c r="B13" s="106">
        <v>5</v>
      </c>
      <c r="C13" s="118">
        <v>1</v>
      </c>
      <c r="D13" s="110">
        <f t="shared" si="0"/>
        <v>5.666666666666667</v>
      </c>
      <c r="E13" s="110">
        <f t="shared" ref="E13" si="3">E12+B13+D13</f>
        <v>73.233333333333334</v>
      </c>
      <c r="F13" s="111">
        <f t="shared" ref="F13:F14" si="4">G12-G13+F12</f>
        <v>1980</v>
      </c>
      <c r="G13" s="106">
        <v>160</v>
      </c>
      <c r="H13" s="112"/>
      <c r="I13" s="113" t="s">
        <v>120</v>
      </c>
      <c r="J13" s="106" t="s">
        <v>133</v>
      </c>
      <c r="K13" s="106" t="s">
        <v>64</v>
      </c>
      <c r="L13" s="734">
        <v>70.653000000000006</v>
      </c>
      <c r="M13" s="735"/>
      <c r="N13" s="106">
        <v>71.497</v>
      </c>
      <c r="O13" s="124">
        <f t="shared" si="2"/>
        <v>843.99999999999409</v>
      </c>
      <c r="P13" s="118" t="s">
        <v>140</v>
      </c>
      <c r="Q13" s="54" t="s">
        <v>147</v>
      </c>
    </row>
    <row r="14" spans="1:17" ht="46.5" customHeight="1" thickBot="1" x14ac:dyDescent="0.4">
      <c r="A14" s="106">
        <v>9</v>
      </c>
      <c r="B14" s="106">
        <v>5</v>
      </c>
      <c r="C14" s="118">
        <v>1</v>
      </c>
      <c r="D14" s="110">
        <f t="shared" si="0"/>
        <v>1</v>
      </c>
      <c r="E14" s="110">
        <f>E13+B14+D14</f>
        <v>79.233333333333334</v>
      </c>
      <c r="F14" s="111">
        <f t="shared" si="4"/>
        <v>2040</v>
      </c>
      <c r="G14" s="106">
        <v>100</v>
      </c>
      <c r="H14" s="112"/>
      <c r="I14" s="113" t="s">
        <v>119</v>
      </c>
      <c r="J14" s="106" t="s">
        <v>134</v>
      </c>
      <c r="K14" s="106" t="s">
        <v>64</v>
      </c>
      <c r="L14" s="734">
        <v>173.005</v>
      </c>
      <c r="M14" s="735"/>
      <c r="N14" s="106">
        <v>173.28700000000001</v>
      </c>
      <c r="O14" s="124">
        <f t="shared" si="2"/>
        <v>282.00000000001069</v>
      </c>
      <c r="P14" s="118" t="s">
        <v>140</v>
      </c>
      <c r="Q14" s="54" t="s">
        <v>147</v>
      </c>
    </row>
    <row r="15" spans="1:17" ht="46.5" customHeight="1" thickBot="1" x14ac:dyDescent="0.4">
      <c r="A15" s="106">
        <v>10</v>
      </c>
      <c r="B15" s="106">
        <v>5</v>
      </c>
      <c r="C15" s="118">
        <v>1</v>
      </c>
      <c r="D15" s="110">
        <f t="shared" si="0"/>
        <v>1.1666666666666667</v>
      </c>
      <c r="E15" s="110">
        <f>E14+B15+D15</f>
        <v>85.4</v>
      </c>
      <c r="F15" s="111">
        <f>G14-G15+F14</f>
        <v>2110</v>
      </c>
      <c r="G15" s="106">
        <v>30</v>
      </c>
      <c r="H15" s="112"/>
      <c r="I15" s="113" t="s">
        <v>121</v>
      </c>
      <c r="J15" s="106" t="s">
        <v>135</v>
      </c>
      <c r="K15" s="106" t="s">
        <v>64</v>
      </c>
      <c r="L15" s="734">
        <v>1.7302999999999999</v>
      </c>
      <c r="M15" s="735"/>
      <c r="N15" s="106">
        <v>1.8692</v>
      </c>
      <c r="O15" s="124">
        <f>(N15-L15)*1000</f>
        <v>138.90000000000003</v>
      </c>
      <c r="P15" s="118" t="s">
        <v>140</v>
      </c>
      <c r="Q15" s="54" t="s">
        <v>147</v>
      </c>
    </row>
    <row r="16" spans="1:17" ht="47.9" customHeight="1" thickBot="1" x14ac:dyDescent="0.6">
      <c r="A16" s="26" t="s">
        <v>10</v>
      </c>
      <c r="B16" s="69">
        <f>SUM(B6:B15)</f>
        <v>50</v>
      </c>
      <c r="C16" s="69"/>
      <c r="D16" s="6">
        <f>SUM(D6:D15)</f>
        <v>35.4</v>
      </c>
      <c r="E16" s="7"/>
      <c r="F16" s="111">
        <f>G15+F15</f>
        <v>2140</v>
      </c>
      <c r="G16" s="839" t="s">
        <v>18</v>
      </c>
      <c r="H16" s="840"/>
      <c r="I16" s="840"/>
      <c r="J16" s="22"/>
      <c r="K16" s="97" t="s">
        <v>103</v>
      </c>
      <c r="L16" s="136" t="s">
        <v>102</v>
      </c>
      <c r="M16" s="136"/>
      <c r="N16" s="86" t="s">
        <v>53</v>
      </c>
      <c r="Q16" s="723">
        <f>SUM(O6:O15)</f>
        <v>8372.9000000000142</v>
      </c>
    </row>
    <row r="17" spans="1:19" ht="48.75" customHeight="1" x14ac:dyDescent="0.35">
      <c r="A17" s="26" t="s">
        <v>12</v>
      </c>
      <c r="B17" s="69">
        <f>B16/60</f>
        <v>0.83333333333333337</v>
      </c>
      <c r="C17" s="69"/>
      <c r="D17" s="6" t="s">
        <v>14</v>
      </c>
      <c r="E17" s="6"/>
      <c r="F17" s="27"/>
      <c r="J17" s="95" t="s">
        <v>145</v>
      </c>
      <c r="K17" s="30">
        <v>44215</v>
      </c>
      <c r="L17" s="829">
        <v>0.6875</v>
      </c>
      <c r="M17" s="841"/>
      <c r="N17" s="123">
        <v>0.60416666666666663</v>
      </c>
      <c r="S17">
        <v>1</v>
      </c>
    </row>
    <row r="18" spans="1:19" ht="55.4" customHeight="1" x14ac:dyDescent="0.35">
      <c r="J18" s="96" t="s">
        <v>45</v>
      </c>
      <c r="K18" s="30">
        <f>K17</f>
        <v>44215</v>
      </c>
      <c r="L18" s="762">
        <v>0.75</v>
      </c>
      <c r="M18" s="763"/>
      <c r="N18" s="126">
        <v>0.66666666666666663</v>
      </c>
    </row>
    <row r="19" spans="1:19" ht="50.25" customHeight="1" x14ac:dyDescent="0.35">
      <c r="A19" s="1"/>
      <c r="B19" s="1"/>
      <c r="C19" s="1"/>
      <c r="D19" s="1"/>
      <c r="E19" s="1"/>
      <c r="F19" s="1"/>
      <c r="G19" s="1"/>
      <c r="J19" s="96" t="s">
        <v>46</v>
      </c>
      <c r="K19" s="30">
        <f>K18</f>
        <v>44215</v>
      </c>
      <c r="L19" s="762">
        <v>0.875</v>
      </c>
      <c r="M19" s="766"/>
      <c r="N19" s="68">
        <v>0.79166666666666663</v>
      </c>
    </row>
    <row r="20" spans="1:19" ht="50.25" customHeight="1" x14ac:dyDescent="0.35">
      <c r="A20" s="805" t="s">
        <v>52</v>
      </c>
      <c r="B20" s="805"/>
      <c r="C20" s="805"/>
      <c r="D20" s="805"/>
      <c r="E20" s="805"/>
      <c r="F20" s="805"/>
      <c r="J20" s="96" t="s">
        <v>47</v>
      </c>
      <c r="K20" s="30">
        <f>K19</f>
        <v>44215</v>
      </c>
      <c r="L20" s="762">
        <v>0.92361111111111116</v>
      </c>
      <c r="M20" s="766"/>
      <c r="N20" s="68">
        <v>0.84027777777777779</v>
      </c>
    </row>
    <row r="21" spans="1:19" ht="20" x14ac:dyDescent="0.4">
      <c r="A21" s="17" t="s">
        <v>51</v>
      </c>
      <c r="B21" s="17"/>
      <c r="C21" s="17"/>
      <c r="F21" s="22">
        <v>8</v>
      </c>
      <c r="G21" s="20" t="s">
        <v>11</v>
      </c>
      <c r="J21" s="17"/>
      <c r="K21" s="19"/>
    </row>
    <row r="22" spans="1:19" ht="60" customHeight="1" x14ac:dyDescent="0.4">
      <c r="F22" s="17"/>
      <c r="G22" s="17"/>
      <c r="J22" s="10" t="s">
        <v>50</v>
      </c>
      <c r="K22" s="31">
        <f>E15</f>
        <v>85.4</v>
      </c>
    </row>
    <row r="23" spans="1:19" ht="78" customHeight="1" x14ac:dyDescent="0.4">
      <c r="F23" s="17"/>
      <c r="G23" s="17"/>
      <c r="H23" s="17"/>
      <c r="I23" s="15"/>
      <c r="J23" s="10" t="s">
        <v>49</v>
      </c>
      <c r="K23" s="31">
        <f>D16+5*A15</f>
        <v>85.4</v>
      </c>
    </row>
    <row r="24" spans="1:19" ht="57.75" customHeight="1" x14ac:dyDescent="0.4">
      <c r="A24" s="19"/>
      <c r="B24" s="20"/>
      <c r="C24" s="17"/>
      <c r="I24" s="9"/>
      <c r="J24" s="1"/>
      <c r="K24" s="1"/>
      <c r="L24" s="1"/>
      <c r="M24" s="2"/>
    </row>
    <row r="25" spans="1:19" ht="20" x14ac:dyDescent="0.4">
      <c r="C25" s="17"/>
      <c r="D25" s="17"/>
      <c r="E25" s="17" t="s">
        <v>14</v>
      </c>
      <c r="F25" s="17"/>
      <c r="I25" s="15"/>
      <c r="J25" s="1"/>
      <c r="K25" s="1"/>
      <c r="L25" s="1"/>
      <c r="M25" s="2"/>
    </row>
    <row r="26" spans="1:19" ht="20" x14ac:dyDescent="0.4">
      <c r="A26" s="19"/>
      <c r="B26" s="20"/>
      <c r="C26" s="17"/>
      <c r="D26" s="17"/>
      <c r="E26" s="23"/>
      <c r="F26" s="17"/>
      <c r="G26" s="17"/>
      <c r="H26" s="17"/>
      <c r="I26" s="15"/>
      <c r="J26" s="1"/>
      <c r="K26" s="1"/>
      <c r="L26" s="1"/>
      <c r="M26" s="2"/>
      <c r="N26" s="2"/>
      <c r="O26" s="2"/>
    </row>
    <row r="27" spans="1:19" ht="20" x14ac:dyDescent="0.4">
      <c r="A27" s="19"/>
      <c r="B27" s="20"/>
      <c r="C27" s="17"/>
      <c r="D27" s="17"/>
      <c r="E27" s="17"/>
      <c r="F27" s="17"/>
      <c r="G27" s="17"/>
      <c r="H27" s="17"/>
      <c r="I27" s="15"/>
      <c r="J27" s="1"/>
      <c r="K27" s="1"/>
      <c r="L27" s="1"/>
      <c r="M27" s="2"/>
    </row>
    <row r="28" spans="1:19" ht="18.5" x14ac:dyDescent="0.45">
      <c r="A28" s="16"/>
      <c r="B28" s="16"/>
      <c r="C28" s="16"/>
      <c r="D28" s="16"/>
      <c r="E28" s="16"/>
      <c r="F28" s="16"/>
      <c r="G28" s="16"/>
      <c r="H28" s="16"/>
      <c r="I28" s="16"/>
    </row>
  </sheetData>
  <mergeCells count="18">
    <mergeCell ref="M3:O3"/>
    <mergeCell ref="L8:M8"/>
    <mergeCell ref="L10:M10"/>
    <mergeCell ref="L11:M11"/>
    <mergeCell ref="L12:M12"/>
    <mergeCell ref="L6:M6"/>
    <mergeCell ref="L9:M9"/>
    <mergeCell ref="L7:M7"/>
    <mergeCell ref="L5:M5"/>
    <mergeCell ref="G16:I16"/>
    <mergeCell ref="L13:M13"/>
    <mergeCell ref="L14:M14"/>
    <mergeCell ref="L15:M15"/>
    <mergeCell ref="A20:F20"/>
    <mergeCell ref="L17:M17"/>
    <mergeCell ref="L18:M18"/>
    <mergeCell ref="L19:M19"/>
    <mergeCell ref="L20:M20"/>
  </mergeCells>
  <phoneticPr fontId="29" type="noConversion"/>
  <pageMargins left="0.7" right="0.7" top="0.75" bottom="0.75" header="0.3" footer="0.3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zoomScale="40" zoomScaleNormal="40" workbookViewId="0">
      <selection activeCell="A19" sqref="A19:A21"/>
    </sheetView>
  </sheetViews>
  <sheetFormatPr defaultColWidth="11.453125" defaultRowHeight="14.5" x14ac:dyDescent="0.35"/>
  <cols>
    <col min="1" max="1" width="12.08984375" customWidth="1"/>
    <col min="2" max="2" width="13" customWidth="1"/>
    <col min="3" max="3" width="15.453125" customWidth="1"/>
    <col min="4" max="5" width="14.453125" customWidth="1"/>
    <col min="6" max="6" width="19.90625" customWidth="1"/>
    <col min="7" max="7" width="13.453125" customWidth="1"/>
    <col min="8" max="8" width="13.90625" customWidth="1"/>
    <col min="9" max="9" width="14" customWidth="1"/>
    <col min="10" max="10" width="21.08984375" customWidth="1"/>
    <col min="11" max="11" width="19.453125" bestFit="1" customWidth="1"/>
    <col min="12" max="12" width="18" customWidth="1"/>
    <col min="13" max="13" width="20.90625" customWidth="1"/>
    <col min="14" max="14" width="25.453125" customWidth="1"/>
    <col min="15" max="15" width="19" customWidth="1"/>
    <col min="16" max="24" width="9.08984375" customWidth="1"/>
    <col min="25" max="25" width="102.08984375" bestFit="1" customWidth="1"/>
    <col min="26" max="26" width="10.453125" customWidth="1"/>
    <col min="27" max="27" width="10.453125" bestFit="1" customWidth="1"/>
    <col min="28" max="28" width="34.453125" customWidth="1"/>
  </cols>
  <sheetData>
    <row r="1" spans="1:28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</row>
    <row r="2" spans="1:28" ht="41.25" customHeight="1" x14ac:dyDescent="0.65">
      <c r="A2" s="84" t="s">
        <v>36</v>
      </c>
      <c r="B2" s="83"/>
      <c r="C2" s="98" t="s">
        <v>167</v>
      </c>
      <c r="D2" s="83"/>
      <c r="H2" s="91" t="s">
        <v>96</v>
      </c>
      <c r="I2" s="193" t="s">
        <v>181</v>
      </c>
      <c r="K2" s="89" t="s">
        <v>99</v>
      </c>
      <c r="L2" s="1"/>
      <c r="M2" s="2"/>
      <c r="N2" s="2"/>
      <c r="O2" s="2"/>
    </row>
    <row r="3" spans="1:28" ht="30" x14ac:dyDescent="0.6">
      <c r="A3" s="119" t="s">
        <v>136</v>
      </c>
      <c r="B3" s="120"/>
      <c r="C3" s="121">
        <v>646</v>
      </c>
      <c r="D3" s="122" t="s">
        <v>11</v>
      </c>
      <c r="E3" s="1"/>
      <c r="F3" s="1"/>
      <c r="G3" s="1"/>
      <c r="H3" s="92" t="s">
        <v>97</v>
      </c>
      <c r="I3" s="193" t="s">
        <v>182</v>
      </c>
      <c r="K3" s="89" t="s">
        <v>100</v>
      </c>
      <c r="L3" s="1"/>
      <c r="M3" s="869"/>
      <c r="N3" s="869"/>
      <c r="O3" s="869"/>
    </row>
    <row r="4" spans="1:28" ht="28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Q4" s="778" t="s">
        <v>38</v>
      </c>
      <c r="R4" s="779"/>
      <c r="S4" s="780"/>
      <c r="T4" s="781" t="s">
        <v>43</v>
      </c>
      <c r="U4" s="782"/>
      <c r="V4" s="782"/>
      <c r="W4" s="783"/>
      <c r="X4" s="154"/>
      <c r="Y4" s="13" t="s">
        <v>48</v>
      </c>
    </row>
    <row r="5" spans="1:28" ht="62.5" x14ac:dyDescent="0.55000000000000004">
      <c r="A5" s="10" t="s">
        <v>98</v>
      </c>
      <c r="B5" s="10" t="s">
        <v>0</v>
      </c>
      <c r="C5" s="10" t="s">
        <v>17</v>
      </c>
      <c r="D5" s="10" t="s">
        <v>1</v>
      </c>
      <c r="E5" s="11" t="s">
        <v>2</v>
      </c>
      <c r="F5" s="12" t="s">
        <v>3</v>
      </c>
      <c r="G5" s="13" t="s">
        <v>4</v>
      </c>
      <c r="H5" s="13" t="s">
        <v>5</v>
      </c>
      <c r="I5" s="93" t="s">
        <v>16</v>
      </c>
      <c r="J5" s="128" t="s">
        <v>15</v>
      </c>
      <c r="K5" s="128" t="s">
        <v>66</v>
      </c>
      <c r="L5" s="867" t="s">
        <v>143</v>
      </c>
      <c r="M5" s="868"/>
      <c r="N5" s="93" t="s">
        <v>144</v>
      </c>
      <c r="O5" s="10" t="s">
        <v>8</v>
      </c>
      <c r="P5" s="10" t="s">
        <v>137</v>
      </c>
      <c r="Q5" s="29" t="s">
        <v>42</v>
      </c>
      <c r="R5" s="29" t="s">
        <v>37</v>
      </c>
      <c r="S5" s="29" t="s">
        <v>44</v>
      </c>
      <c r="T5" s="28" t="s">
        <v>41</v>
      </c>
      <c r="U5" s="28" t="s">
        <v>39</v>
      </c>
      <c r="V5" s="28" t="s">
        <v>40</v>
      </c>
      <c r="W5" s="28" t="s">
        <v>42</v>
      </c>
      <c r="X5" s="28" t="s">
        <v>178</v>
      </c>
      <c r="Y5" s="53"/>
      <c r="AB5" s="251">
        <f>SUM(O6,O9,O10:O18,O21,O22)</f>
        <v>12914.5</v>
      </c>
    </row>
    <row r="6" spans="1:28" ht="46.5" customHeight="1" thickBot="1" x14ac:dyDescent="0.4">
      <c r="A6" s="149">
        <v>1</v>
      </c>
      <c r="B6" s="149">
        <v>5</v>
      </c>
      <c r="C6" s="149">
        <v>1</v>
      </c>
      <c r="D6" s="151">
        <f>ABS(F6/C6/60)</f>
        <v>0.11666666666666667</v>
      </c>
      <c r="E6" s="151">
        <f>D6+B6</f>
        <v>5.1166666666666663</v>
      </c>
      <c r="F6" s="152">
        <v>-7</v>
      </c>
      <c r="G6" s="162">
        <f>C3-30</f>
        <v>616</v>
      </c>
      <c r="H6" s="149"/>
      <c r="I6" s="153" t="s">
        <v>61</v>
      </c>
      <c r="J6" s="155" t="s">
        <v>127</v>
      </c>
      <c r="K6" s="158" t="s">
        <v>64</v>
      </c>
      <c r="L6" s="158">
        <f>'SWG-03-013-P'!N7</f>
        <v>43.514000000000003</v>
      </c>
      <c r="M6" s="174">
        <v>43.515000000000001</v>
      </c>
      <c r="N6" s="174">
        <v>44.494</v>
      </c>
      <c r="O6" s="149">
        <f t="shared" ref="O6:O22" si="0">(N6-M6)*1000</f>
        <v>978.9999999999992</v>
      </c>
      <c r="P6" s="149" t="s">
        <v>140</v>
      </c>
      <c r="Q6" s="179" t="s">
        <v>54</v>
      </c>
      <c r="R6" s="180"/>
      <c r="S6" s="180"/>
      <c r="T6" s="180"/>
      <c r="U6" s="180"/>
      <c r="V6" s="180"/>
      <c r="W6" s="180"/>
      <c r="X6" s="180"/>
      <c r="Y6" s="171" t="s">
        <v>175</v>
      </c>
    </row>
    <row r="7" spans="1:28" ht="46.5" customHeight="1" x14ac:dyDescent="0.35">
      <c r="A7" s="806">
        <v>2</v>
      </c>
      <c r="B7" s="806">
        <v>5</v>
      </c>
      <c r="C7" s="806">
        <v>1</v>
      </c>
      <c r="D7" s="807">
        <f>(F7-F6)/C7/60</f>
        <v>0.33333333333333331</v>
      </c>
      <c r="E7" s="807">
        <f>E6+B7+D7</f>
        <v>10.450000000000001</v>
      </c>
      <c r="F7" s="858">
        <f>G$6-G7-$F$31+1</f>
        <v>13</v>
      </c>
      <c r="G7" s="861">
        <f>G6-20</f>
        <v>596</v>
      </c>
      <c r="H7" s="806"/>
      <c r="I7" s="870" t="s">
        <v>170</v>
      </c>
      <c r="J7" s="156" t="s">
        <v>158</v>
      </c>
      <c r="K7" s="175" t="s">
        <v>64</v>
      </c>
      <c r="L7" s="156"/>
      <c r="M7" s="175">
        <v>1.5524</v>
      </c>
      <c r="N7" s="175">
        <v>2.0655999999999999</v>
      </c>
      <c r="O7" s="148">
        <f t="shared" si="0"/>
        <v>513.19999999999993</v>
      </c>
      <c r="P7" s="806"/>
      <c r="Q7" s="181"/>
      <c r="R7" s="181"/>
      <c r="S7" s="181"/>
      <c r="T7" s="181"/>
      <c r="U7" s="182" t="s">
        <v>54</v>
      </c>
      <c r="V7" s="181"/>
      <c r="W7" s="182" t="s">
        <v>54</v>
      </c>
      <c r="X7" s="182" t="s">
        <v>54</v>
      </c>
      <c r="Y7" s="864" t="s">
        <v>162</v>
      </c>
    </row>
    <row r="8" spans="1:28" ht="46.5" customHeight="1" x14ac:dyDescent="0.35">
      <c r="A8" s="742"/>
      <c r="B8" s="742"/>
      <c r="C8" s="742"/>
      <c r="D8" s="789"/>
      <c r="E8" s="789"/>
      <c r="F8" s="791"/>
      <c r="G8" s="862"/>
      <c r="H8" s="742"/>
      <c r="I8" s="871"/>
      <c r="J8" s="157" t="s">
        <v>76</v>
      </c>
      <c r="K8" s="176" t="s">
        <v>116</v>
      </c>
      <c r="L8" s="157"/>
      <c r="M8" s="176">
        <v>1.6496999999999999</v>
      </c>
      <c r="N8" s="176">
        <v>2.6206999999999998</v>
      </c>
      <c r="O8" s="157">
        <f t="shared" si="0"/>
        <v>970.99999999999989</v>
      </c>
      <c r="P8" s="742"/>
      <c r="Q8" s="183"/>
      <c r="R8" s="183"/>
      <c r="S8" s="183"/>
      <c r="T8" s="184" t="s">
        <v>54</v>
      </c>
      <c r="U8" s="183"/>
      <c r="V8" s="184" t="s">
        <v>54</v>
      </c>
      <c r="W8" s="183"/>
      <c r="X8" s="183"/>
      <c r="Y8" s="859"/>
    </row>
    <row r="9" spans="1:28" ht="46.5" customHeight="1" thickBot="1" x14ac:dyDescent="0.4">
      <c r="A9" s="743"/>
      <c r="B9" s="743"/>
      <c r="C9" s="743"/>
      <c r="D9" s="790"/>
      <c r="E9" s="790"/>
      <c r="F9" s="792"/>
      <c r="G9" s="863"/>
      <c r="H9" s="743"/>
      <c r="I9" s="872"/>
      <c r="J9" s="158" t="s">
        <v>179</v>
      </c>
      <c r="K9" s="158"/>
      <c r="L9" s="158"/>
      <c r="M9" s="174">
        <v>3.0352999999999999</v>
      </c>
      <c r="N9" s="174">
        <v>4.5305999999999997</v>
      </c>
      <c r="O9" s="158">
        <f t="shared" si="0"/>
        <v>1495.3</v>
      </c>
      <c r="P9" s="743"/>
      <c r="Q9" s="180"/>
      <c r="R9" s="180"/>
      <c r="S9" s="180"/>
      <c r="T9" s="180"/>
      <c r="U9" s="180"/>
      <c r="V9" s="180"/>
      <c r="W9" s="180"/>
      <c r="X9" s="180"/>
      <c r="Y9" s="860"/>
    </row>
    <row r="10" spans="1:28" ht="46.5" customHeight="1" thickBot="1" x14ac:dyDescent="0.4">
      <c r="A10" s="149">
        <v>3</v>
      </c>
      <c r="B10" s="149">
        <v>5</v>
      </c>
      <c r="C10" s="149">
        <v>1</v>
      </c>
      <c r="D10" s="151">
        <f>(F10-F7)/C10/60</f>
        <v>1.6</v>
      </c>
      <c r="E10" s="151">
        <f>E7+B10+D10</f>
        <v>17.05</v>
      </c>
      <c r="F10" s="144">
        <f>G$7-G10+F7</f>
        <v>109</v>
      </c>
      <c r="G10" s="149">
        <v>500</v>
      </c>
      <c r="H10" s="149"/>
      <c r="I10" s="153" t="s">
        <v>59</v>
      </c>
      <c r="J10" s="149" t="s">
        <v>128</v>
      </c>
      <c r="K10" s="149" t="s">
        <v>64</v>
      </c>
      <c r="L10" s="149">
        <f>'SWG-03-013-P'!N8</f>
        <v>28.085000000000001</v>
      </c>
      <c r="M10" s="177">
        <v>28.088000000000001</v>
      </c>
      <c r="N10" s="177">
        <v>28.643000000000001</v>
      </c>
      <c r="O10" s="149">
        <f t="shared" si="0"/>
        <v>554.99999999999977</v>
      </c>
      <c r="P10" s="149" t="s">
        <v>140</v>
      </c>
      <c r="Q10" s="179" t="s">
        <v>54</v>
      </c>
      <c r="R10" s="180"/>
      <c r="S10" s="180"/>
      <c r="T10" s="180"/>
      <c r="U10" s="180"/>
      <c r="V10" s="180"/>
      <c r="W10" s="180"/>
      <c r="X10" s="180"/>
      <c r="Y10" s="172" t="s">
        <v>161</v>
      </c>
    </row>
    <row r="11" spans="1:28" ht="46.5" customHeight="1" thickBot="1" x14ac:dyDescent="0.4">
      <c r="A11" s="149">
        <v>4</v>
      </c>
      <c r="B11" s="149">
        <v>5</v>
      </c>
      <c r="C11" s="149">
        <v>1</v>
      </c>
      <c r="D11" s="151">
        <f t="shared" ref="D11:D12" si="1">(F11-F10)/C11/60</f>
        <v>0.33333333333333331</v>
      </c>
      <c r="E11" s="151">
        <f t="shared" ref="E11:E12" si="2">E10+B11+D11</f>
        <v>22.383333333333333</v>
      </c>
      <c r="F11" s="144">
        <f>G10-G11+F10</f>
        <v>129</v>
      </c>
      <c r="G11" s="149">
        <v>480</v>
      </c>
      <c r="H11" s="149"/>
      <c r="I11" s="153" t="s">
        <v>123</v>
      </c>
      <c r="J11" s="149" t="s">
        <v>132</v>
      </c>
      <c r="K11" s="149" t="s">
        <v>64</v>
      </c>
      <c r="L11" s="149">
        <f>'SWG-03-013-P'!N12</f>
        <v>91.510999999999996</v>
      </c>
      <c r="M11" s="177">
        <v>91.516000000000005</v>
      </c>
      <c r="N11" s="177">
        <v>92.349000000000004</v>
      </c>
      <c r="O11" s="149">
        <f t="shared" si="0"/>
        <v>832.99999999999841</v>
      </c>
      <c r="P11" s="149"/>
      <c r="Q11" s="180"/>
      <c r="R11" s="180"/>
      <c r="S11" s="180"/>
      <c r="T11" s="180"/>
      <c r="U11" s="179" t="s">
        <v>54</v>
      </c>
      <c r="V11" s="180"/>
      <c r="W11" s="179" t="s">
        <v>54</v>
      </c>
      <c r="X11" s="182" t="s">
        <v>54</v>
      </c>
      <c r="Y11" s="172" t="s">
        <v>163</v>
      </c>
    </row>
    <row r="12" spans="1:28" ht="46.5" customHeight="1" thickBot="1" x14ac:dyDescent="0.4">
      <c r="A12" s="149">
        <v>5</v>
      </c>
      <c r="B12" s="149">
        <v>5</v>
      </c>
      <c r="C12" s="149">
        <v>1</v>
      </c>
      <c r="D12" s="151">
        <f t="shared" si="1"/>
        <v>1.3333333333333333</v>
      </c>
      <c r="E12" s="151">
        <f t="shared" si="2"/>
        <v>28.716666666666665</v>
      </c>
      <c r="F12" s="152">
        <f>G11-G12+F11</f>
        <v>209</v>
      </c>
      <c r="G12" s="149">
        <v>400</v>
      </c>
      <c r="H12" s="149"/>
      <c r="I12" s="153" t="s">
        <v>60</v>
      </c>
      <c r="J12" s="149" t="s">
        <v>129</v>
      </c>
      <c r="K12" s="149" t="s">
        <v>64</v>
      </c>
      <c r="L12" s="149">
        <f>'SWG-03-013-P'!N9</f>
        <v>46.292000000000002</v>
      </c>
      <c r="M12" s="177">
        <v>46.295000000000002</v>
      </c>
      <c r="N12" s="177">
        <v>47.212000000000003</v>
      </c>
      <c r="O12" s="149">
        <f t="shared" si="0"/>
        <v>917.00000000000159</v>
      </c>
      <c r="P12" s="149" t="s">
        <v>140</v>
      </c>
      <c r="Q12" s="179" t="s">
        <v>54</v>
      </c>
      <c r="R12" s="180"/>
      <c r="S12" s="180"/>
      <c r="T12" s="180"/>
      <c r="U12" s="180"/>
      <c r="V12" s="180"/>
      <c r="W12" s="180"/>
      <c r="X12" s="180"/>
      <c r="Y12" s="172" t="s">
        <v>177</v>
      </c>
    </row>
    <row r="13" spans="1:28" ht="46.5" customHeight="1" thickBot="1" x14ac:dyDescent="0.4">
      <c r="A13" s="149">
        <v>6</v>
      </c>
      <c r="B13" s="149">
        <v>5</v>
      </c>
      <c r="C13" s="149">
        <v>1</v>
      </c>
      <c r="D13" s="151">
        <f t="shared" ref="D13:D19" si="3">(F13-F12)/C13/60</f>
        <v>1.6666666666666667</v>
      </c>
      <c r="E13" s="151">
        <f t="shared" ref="E13:E18" si="4">E12+B13+D13</f>
        <v>35.383333333333333</v>
      </c>
      <c r="F13" s="152">
        <f>G12-G13+F12</f>
        <v>309</v>
      </c>
      <c r="G13" s="149">
        <v>300</v>
      </c>
      <c r="H13" s="149"/>
      <c r="I13" s="153" t="s">
        <v>119</v>
      </c>
      <c r="J13" s="149" t="s">
        <v>134</v>
      </c>
      <c r="K13" s="149" t="s">
        <v>116</v>
      </c>
      <c r="L13" s="149">
        <f>'SWG-03-013-P'!N14</f>
        <v>173.28700000000001</v>
      </c>
      <c r="M13" s="177">
        <v>173.28899999999999</v>
      </c>
      <c r="N13" s="177">
        <v>174.57599999999999</v>
      </c>
      <c r="O13" s="149">
        <f t="shared" si="0"/>
        <v>1287.0000000000061</v>
      </c>
      <c r="P13" s="149"/>
      <c r="Q13" s="180"/>
      <c r="R13" s="180"/>
      <c r="S13" s="180"/>
      <c r="T13" s="179" t="s">
        <v>54</v>
      </c>
      <c r="U13" s="180"/>
      <c r="V13" s="179" t="s">
        <v>54</v>
      </c>
      <c r="W13" s="180"/>
      <c r="X13" s="180"/>
      <c r="Y13" s="172" t="s">
        <v>164</v>
      </c>
    </row>
    <row r="14" spans="1:28" ht="46.5" customHeight="1" thickBot="1" x14ac:dyDescent="0.4">
      <c r="A14" s="149">
        <v>7</v>
      </c>
      <c r="B14" s="149">
        <v>5</v>
      </c>
      <c r="C14" s="149">
        <v>1</v>
      </c>
      <c r="D14" s="151">
        <f t="shared" si="3"/>
        <v>0.83333333333333337</v>
      </c>
      <c r="E14" s="151">
        <f t="shared" si="4"/>
        <v>41.216666666666669</v>
      </c>
      <c r="F14" s="152">
        <f>G15-G14+F15</f>
        <v>359</v>
      </c>
      <c r="G14" s="149">
        <v>250</v>
      </c>
      <c r="H14" s="149"/>
      <c r="I14" s="153" t="s">
        <v>121</v>
      </c>
      <c r="J14" s="149" t="s">
        <v>135</v>
      </c>
      <c r="K14" s="149" t="s">
        <v>64</v>
      </c>
      <c r="L14" s="149">
        <f>'SWG-03-013-P'!N15</f>
        <v>1.8692</v>
      </c>
      <c r="M14" s="177">
        <v>1.8728</v>
      </c>
      <c r="N14" s="177">
        <v>2.6204999999999998</v>
      </c>
      <c r="O14" s="149">
        <f t="shared" si="0"/>
        <v>747.69999999999982</v>
      </c>
      <c r="P14" s="149" t="s">
        <v>140</v>
      </c>
      <c r="Q14" s="179" t="s">
        <v>54</v>
      </c>
      <c r="R14" s="180"/>
      <c r="S14" s="180"/>
      <c r="T14" s="180"/>
      <c r="U14" s="180"/>
      <c r="V14" s="180"/>
      <c r="W14" s="180"/>
      <c r="X14" s="180"/>
      <c r="Y14" s="172" t="s">
        <v>172</v>
      </c>
    </row>
    <row r="15" spans="1:28" ht="46.5" customHeight="1" thickBot="1" x14ac:dyDescent="0.4">
      <c r="A15" s="149">
        <v>8</v>
      </c>
      <c r="B15" s="149">
        <v>5</v>
      </c>
      <c r="C15" s="149">
        <v>1</v>
      </c>
      <c r="D15" s="151">
        <f t="shared" si="3"/>
        <v>0.33333333333333331</v>
      </c>
      <c r="E15" s="151">
        <f t="shared" si="4"/>
        <v>46.550000000000004</v>
      </c>
      <c r="F15" s="152">
        <f>G13-G15+F13</f>
        <v>379</v>
      </c>
      <c r="G15" s="149">
        <v>230</v>
      </c>
      <c r="H15" s="149"/>
      <c r="I15" s="161" t="s">
        <v>171</v>
      </c>
      <c r="J15" s="149" t="s">
        <v>133</v>
      </c>
      <c r="K15" s="149" t="s">
        <v>64</v>
      </c>
      <c r="L15" s="149">
        <f>'SWG-03-013-P'!N13</f>
        <v>71.497</v>
      </c>
      <c r="M15" s="177">
        <v>71.504000000000005</v>
      </c>
      <c r="N15" s="177">
        <v>72.426000000000002</v>
      </c>
      <c r="O15" s="149">
        <f t="shared" si="0"/>
        <v>921.99999999999704</v>
      </c>
      <c r="P15" s="149"/>
      <c r="Q15" s="180"/>
      <c r="R15" s="180"/>
      <c r="S15" s="180"/>
      <c r="T15" s="180"/>
      <c r="U15" s="179" t="s">
        <v>54</v>
      </c>
      <c r="V15" s="180"/>
      <c r="W15" s="179" t="s">
        <v>54</v>
      </c>
      <c r="X15" s="182" t="s">
        <v>54</v>
      </c>
      <c r="Y15" s="172" t="s">
        <v>163</v>
      </c>
    </row>
    <row r="16" spans="1:28" ht="46.5" customHeight="1" thickBot="1" x14ac:dyDescent="0.4">
      <c r="A16" s="149">
        <v>9</v>
      </c>
      <c r="B16" s="149">
        <v>5</v>
      </c>
      <c r="C16" s="149">
        <v>1</v>
      </c>
      <c r="D16" s="151">
        <f t="shared" si="3"/>
        <v>1.3333333333333333</v>
      </c>
      <c r="E16" s="151">
        <f t="shared" si="4"/>
        <v>52.88333333333334</v>
      </c>
      <c r="F16" s="152">
        <f>G14-G16+F14</f>
        <v>459</v>
      </c>
      <c r="G16" s="149">
        <v>150</v>
      </c>
      <c r="H16" s="149"/>
      <c r="I16" s="153" t="s">
        <v>57</v>
      </c>
      <c r="J16" s="149" t="s">
        <v>126</v>
      </c>
      <c r="K16" s="149" t="s">
        <v>116</v>
      </c>
      <c r="L16" s="149">
        <f>'SWG-03-013-P'!N6</f>
        <v>21.946000000000002</v>
      </c>
      <c r="M16" s="177">
        <v>21.948</v>
      </c>
      <c r="N16" s="177">
        <v>23.227</v>
      </c>
      <c r="O16" s="149">
        <f t="shared" si="0"/>
        <v>1279</v>
      </c>
      <c r="P16" s="149"/>
      <c r="Q16" s="185"/>
      <c r="R16" s="185"/>
      <c r="S16" s="185"/>
      <c r="T16" s="186" t="s">
        <v>54</v>
      </c>
      <c r="U16" s="185"/>
      <c r="V16" s="186" t="s">
        <v>54</v>
      </c>
      <c r="W16" s="185"/>
      <c r="X16" s="185"/>
      <c r="Y16" s="172" t="s">
        <v>164</v>
      </c>
    </row>
    <row r="17" spans="1:27" ht="46.5" customHeight="1" thickBot="1" x14ac:dyDescent="0.4">
      <c r="A17" s="148">
        <v>10</v>
      </c>
      <c r="B17" s="148">
        <v>5</v>
      </c>
      <c r="C17" s="148">
        <v>1</v>
      </c>
      <c r="D17" s="151">
        <f t="shared" si="3"/>
        <v>1</v>
      </c>
      <c r="E17" s="151">
        <f t="shared" si="4"/>
        <v>58.88333333333334</v>
      </c>
      <c r="F17" s="152">
        <f>G16-G17+F16</f>
        <v>519</v>
      </c>
      <c r="G17" s="149">
        <v>90</v>
      </c>
      <c r="H17" s="149"/>
      <c r="I17" s="153" t="s">
        <v>122</v>
      </c>
      <c r="J17" s="149" t="s">
        <v>130</v>
      </c>
      <c r="K17" s="149" t="s">
        <v>64</v>
      </c>
      <c r="L17" s="149">
        <f>'SWG-03-013-P'!N10</f>
        <v>4.1849999999999996</v>
      </c>
      <c r="M17" s="177">
        <v>4.1849999999999996</v>
      </c>
      <c r="N17" s="177">
        <v>5.2590000000000003</v>
      </c>
      <c r="O17" s="149">
        <f t="shared" si="0"/>
        <v>1074.0000000000007</v>
      </c>
      <c r="P17" s="149" t="s">
        <v>140</v>
      </c>
      <c r="Q17" s="186" t="s">
        <v>54</v>
      </c>
      <c r="R17" s="185"/>
      <c r="S17" s="185"/>
      <c r="T17" s="185"/>
      <c r="U17" s="185"/>
      <c r="V17" s="185"/>
      <c r="W17" s="185"/>
      <c r="X17" s="185"/>
      <c r="Y17" s="172" t="s">
        <v>161</v>
      </c>
    </row>
    <row r="18" spans="1:27" ht="46.5" customHeight="1" thickBot="1" x14ac:dyDescent="0.4">
      <c r="A18" s="157">
        <v>11</v>
      </c>
      <c r="B18" s="157">
        <v>5</v>
      </c>
      <c r="C18" s="157">
        <v>1</v>
      </c>
      <c r="D18" s="151">
        <f t="shared" si="3"/>
        <v>0.33333333333333331</v>
      </c>
      <c r="E18" s="151">
        <f t="shared" si="4"/>
        <v>64.216666666666669</v>
      </c>
      <c r="F18" s="85">
        <f>G17-G18+F17</f>
        <v>539</v>
      </c>
      <c r="G18" s="149">
        <v>70</v>
      </c>
      <c r="H18" s="149"/>
      <c r="I18" s="153" t="s">
        <v>58</v>
      </c>
      <c r="J18" s="149" t="s">
        <v>149</v>
      </c>
      <c r="K18" s="149" t="s">
        <v>116</v>
      </c>
      <c r="L18" s="149"/>
      <c r="M18" s="177">
        <v>8.7750000000000004</v>
      </c>
      <c r="N18" s="177">
        <v>10.169</v>
      </c>
      <c r="O18" s="149">
        <f t="shared" si="0"/>
        <v>1394.0000000000002</v>
      </c>
      <c r="P18" s="149"/>
      <c r="Q18" s="185"/>
      <c r="R18" s="185"/>
      <c r="S18" s="185"/>
      <c r="T18" s="186" t="s">
        <v>54</v>
      </c>
      <c r="U18" s="185"/>
      <c r="V18" s="186" t="s">
        <v>54</v>
      </c>
      <c r="W18" s="185"/>
      <c r="X18" s="185"/>
      <c r="Y18" s="172" t="s">
        <v>176</v>
      </c>
    </row>
    <row r="19" spans="1:27" ht="46.5" customHeight="1" x14ac:dyDescent="0.35">
      <c r="A19" s="793">
        <v>12</v>
      </c>
      <c r="B19" s="793">
        <v>5</v>
      </c>
      <c r="C19" s="793">
        <v>1</v>
      </c>
      <c r="D19" s="852">
        <f t="shared" si="3"/>
        <v>0.5</v>
      </c>
      <c r="E19" s="865">
        <f>E18+D19+B19</f>
        <v>69.716666666666669</v>
      </c>
      <c r="F19" s="858">
        <f>G18-G19+F18</f>
        <v>569</v>
      </c>
      <c r="G19" s="742">
        <v>40</v>
      </c>
      <c r="H19" s="742"/>
      <c r="I19" s="801" t="s">
        <v>157</v>
      </c>
      <c r="J19" s="156" t="s">
        <v>159</v>
      </c>
      <c r="K19" s="175" t="s">
        <v>64</v>
      </c>
      <c r="L19" s="156"/>
      <c r="M19" s="175">
        <v>2.3393999999999999</v>
      </c>
      <c r="N19" s="175">
        <v>2.6379000000000001</v>
      </c>
      <c r="O19" s="156">
        <f t="shared" si="0"/>
        <v>298.50000000000023</v>
      </c>
      <c r="P19" s="742"/>
      <c r="Q19" s="181"/>
      <c r="R19" s="181"/>
      <c r="S19" s="181"/>
      <c r="T19" s="181"/>
      <c r="U19" s="182" t="s">
        <v>54</v>
      </c>
      <c r="V19" s="181"/>
      <c r="W19" s="182" t="s">
        <v>54</v>
      </c>
      <c r="X19" s="182" t="s">
        <v>54</v>
      </c>
      <c r="Y19" s="859" t="s">
        <v>177</v>
      </c>
    </row>
    <row r="20" spans="1:27" ht="46.5" customHeight="1" x14ac:dyDescent="0.35">
      <c r="A20" s="742"/>
      <c r="B20" s="742"/>
      <c r="C20" s="742"/>
      <c r="D20" s="852"/>
      <c r="E20" s="789"/>
      <c r="F20" s="791"/>
      <c r="G20" s="742"/>
      <c r="H20" s="742"/>
      <c r="I20" s="801"/>
      <c r="J20" s="157" t="s">
        <v>160</v>
      </c>
      <c r="K20" s="176" t="s">
        <v>116</v>
      </c>
      <c r="L20" s="157"/>
      <c r="M20" s="176">
        <v>2.1728999999999998</v>
      </c>
      <c r="N20" s="176">
        <v>2.8944000000000001</v>
      </c>
      <c r="O20" s="157">
        <f t="shared" si="0"/>
        <v>721.50000000000023</v>
      </c>
      <c r="P20" s="742"/>
      <c r="Q20" s="183"/>
      <c r="R20" s="183"/>
      <c r="S20" s="183"/>
      <c r="T20" s="184" t="s">
        <v>54</v>
      </c>
      <c r="U20" s="183"/>
      <c r="V20" s="184" t="s">
        <v>54</v>
      </c>
      <c r="W20" s="183"/>
      <c r="X20" s="183"/>
      <c r="Y20" s="859"/>
    </row>
    <row r="21" spans="1:27" ht="46.5" customHeight="1" thickBot="1" x14ac:dyDescent="0.4">
      <c r="A21" s="739"/>
      <c r="B21" s="739"/>
      <c r="C21" s="739"/>
      <c r="D21" s="852"/>
      <c r="E21" s="866"/>
      <c r="F21" s="791"/>
      <c r="G21" s="743"/>
      <c r="H21" s="743"/>
      <c r="I21" s="802"/>
      <c r="J21" s="158" t="s">
        <v>179</v>
      </c>
      <c r="K21" s="158"/>
      <c r="L21" s="158"/>
      <c r="M21" s="174">
        <v>4.2938999999999998</v>
      </c>
      <c r="N21" s="174">
        <v>5.3094000000000001</v>
      </c>
      <c r="O21" s="158">
        <f t="shared" si="0"/>
        <v>1015.5000000000003</v>
      </c>
      <c r="P21" s="743"/>
      <c r="Q21" s="180"/>
      <c r="R21" s="180"/>
      <c r="S21" s="180"/>
      <c r="T21" s="180"/>
      <c r="U21" s="180"/>
      <c r="V21" s="180"/>
      <c r="W21" s="180"/>
      <c r="X21" s="180"/>
      <c r="Y21" s="860"/>
    </row>
    <row r="22" spans="1:27" ht="46.5" customHeight="1" thickBot="1" x14ac:dyDescent="0.4">
      <c r="A22" s="157">
        <v>13</v>
      </c>
      <c r="B22" s="157">
        <v>5</v>
      </c>
      <c r="C22" s="157">
        <v>1</v>
      </c>
      <c r="D22" s="163">
        <f>(F22-F19)/C22/60</f>
        <v>0.41666666666666669</v>
      </c>
      <c r="E22" s="151">
        <f>E19+B22+D22</f>
        <v>75.13333333333334</v>
      </c>
      <c r="F22" s="165">
        <f>G19-G22+F19</f>
        <v>594</v>
      </c>
      <c r="G22" s="140">
        <v>15</v>
      </c>
      <c r="H22" s="140"/>
      <c r="I22" s="164" t="s">
        <v>118</v>
      </c>
      <c r="J22" s="140" t="s">
        <v>131</v>
      </c>
      <c r="K22" s="140" t="s">
        <v>64</v>
      </c>
      <c r="L22" s="140">
        <f>'SWG-03-013-P'!N11</f>
        <v>66.238</v>
      </c>
      <c r="M22" s="178">
        <v>66.244</v>
      </c>
      <c r="N22" s="178">
        <v>66.66</v>
      </c>
      <c r="O22" s="140">
        <f t="shared" si="0"/>
        <v>415.99999999999682</v>
      </c>
      <c r="P22" s="140" t="s">
        <v>140</v>
      </c>
      <c r="Q22" s="187" t="s">
        <v>54</v>
      </c>
      <c r="R22" s="188"/>
      <c r="S22" s="188"/>
      <c r="T22" s="188"/>
      <c r="U22" s="188"/>
      <c r="V22" s="188"/>
      <c r="W22" s="188"/>
      <c r="X22" s="188"/>
      <c r="Y22" s="173" t="s">
        <v>161</v>
      </c>
    </row>
    <row r="26" spans="1:27" ht="47.9" customHeight="1" thickBot="1" x14ac:dyDescent="0.6">
      <c r="A26" s="24" t="s">
        <v>10</v>
      </c>
      <c r="B26" s="139">
        <f>SUM(B6:B22)</f>
        <v>65</v>
      </c>
      <c r="C26" s="139"/>
      <c r="D26" s="7">
        <f>SUM(D6:D22)</f>
        <v>10.133333333333333</v>
      </c>
      <c r="E26" s="7"/>
      <c r="F26" s="144">
        <f>G6</f>
        <v>616</v>
      </c>
      <c r="G26" s="827" t="s">
        <v>18</v>
      </c>
      <c r="H26" s="828"/>
      <c r="I26" s="828"/>
      <c r="J26" s="22"/>
      <c r="K26" s="97" t="s">
        <v>103</v>
      </c>
      <c r="L26" s="136" t="s">
        <v>102</v>
      </c>
      <c r="M26" s="136"/>
      <c r="N26" s="125" t="s">
        <v>53</v>
      </c>
    </row>
    <row r="27" spans="1:27" ht="48.75" customHeight="1" x14ac:dyDescent="0.35">
      <c r="A27" s="26" t="s">
        <v>12</v>
      </c>
      <c r="B27" s="127">
        <f>B26/60</f>
        <v>1.0833333333333333</v>
      </c>
      <c r="C27" s="127"/>
      <c r="D27" s="6" t="s">
        <v>14</v>
      </c>
      <c r="E27" s="6"/>
      <c r="F27" s="27"/>
      <c r="J27" s="95" t="s">
        <v>145</v>
      </c>
      <c r="K27" s="30">
        <v>44216</v>
      </c>
      <c r="L27" s="829">
        <v>0.5625</v>
      </c>
      <c r="M27" s="841"/>
      <c r="N27" s="123">
        <v>0.47916666666666669</v>
      </c>
      <c r="AA27">
        <v>1</v>
      </c>
    </row>
    <row r="28" spans="1:27" ht="55.4" customHeight="1" x14ac:dyDescent="0.35">
      <c r="J28" s="96" t="s">
        <v>45</v>
      </c>
      <c r="K28" s="30">
        <v>44216</v>
      </c>
      <c r="L28" s="762">
        <v>0.625</v>
      </c>
      <c r="M28" s="763"/>
      <c r="N28" s="126">
        <v>0.54166666666666663</v>
      </c>
    </row>
    <row r="29" spans="1:27" ht="50.25" customHeight="1" x14ac:dyDescent="0.35">
      <c r="A29" s="1"/>
      <c r="B29" s="1"/>
      <c r="C29" s="1"/>
      <c r="D29" s="1"/>
      <c r="E29" s="1"/>
      <c r="F29" s="1"/>
      <c r="G29" s="1"/>
      <c r="J29" s="96" t="s">
        <v>46</v>
      </c>
      <c r="K29" s="30">
        <v>44216</v>
      </c>
      <c r="L29" s="762">
        <v>0.75</v>
      </c>
      <c r="M29" s="766"/>
      <c r="N29" s="126">
        <v>0.66666666666666663</v>
      </c>
    </row>
    <row r="30" spans="1:27" ht="50.25" customHeight="1" x14ac:dyDescent="0.35">
      <c r="A30" s="805" t="s">
        <v>52</v>
      </c>
      <c r="B30" s="805"/>
      <c r="C30" s="805"/>
      <c r="D30" s="805"/>
      <c r="E30" s="805"/>
      <c r="F30" s="805"/>
      <c r="J30" s="96" t="s">
        <v>47</v>
      </c>
      <c r="K30" s="30">
        <v>44216</v>
      </c>
      <c r="L30" s="762">
        <v>0.79166666666666663</v>
      </c>
      <c r="M30" s="766"/>
      <c r="N30" s="126">
        <v>0.75</v>
      </c>
    </row>
    <row r="31" spans="1:27" ht="21" customHeight="1" x14ac:dyDescent="0.4">
      <c r="A31" s="17" t="s">
        <v>51</v>
      </c>
      <c r="B31" s="17"/>
      <c r="C31" s="17"/>
      <c r="F31" s="22">
        <v>8</v>
      </c>
      <c r="G31" s="20" t="s">
        <v>11</v>
      </c>
      <c r="J31" s="17"/>
      <c r="K31" s="19"/>
    </row>
    <row r="32" spans="1:27" ht="60" customHeight="1" x14ac:dyDescent="0.6">
      <c r="A32" s="120" t="s">
        <v>168</v>
      </c>
      <c r="F32" s="145">
        <v>10</v>
      </c>
      <c r="G32" s="17" t="s">
        <v>169</v>
      </c>
      <c r="J32" s="10" t="s">
        <v>50</v>
      </c>
      <c r="K32" s="31">
        <f>E19+F32</f>
        <v>79.716666666666669</v>
      </c>
    </row>
    <row r="33" spans="1:15" ht="78" customHeight="1" x14ac:dyDescent="0.7">
      <c r="A33" s="146" t="s">
        <v>173</v>
      </c>
      <c r="F33" s="17"/>
      <c r="G33" s="17"/>
      <c r="H33" s="17"/>
      <c r="I33" s="15"/>
      <c r="J33" s="10" t="s">
        <v>49</v>
      </c>
      <c r="K33" s="31">
        <f>D26+5*A19+F32</f>
        <v>80.133333333333326</v>
      </c>
    </row>
    <row r="34" spans="1:15" ht="57.75" customHeight="1" x14ac:dyDescent="0.55000000000000004">
      <c r="A34" s="147" t="s">
        <v>174</v>
      </c>
      <c r="B34" s="20"/>
      <c r="C34" s="17"/>
      <c r="I34" s="9"/>
      <c r="J34" s="1"/>
      <c r="K34" s="1"/>
      <c r="L34" s="1"/>
      <c r="M34" s="2"/>
    </row>
    <row r="35" spans="1:15" ht="20" x14ac:dyDescent="0.4">
      <c r="C35" s="17"/>
      <c r="D35" s="17"/>
      <c r="E35" s="17" t="s">
        <v>14</v>
      </c>
      <c r="F35" s="17"/>
      <c r="I35" s="15"/>
      <c r="J35" s="1"/>
      <c r="K35" s="1"/>
      <c r="L35" s="1"/>
      <c r="M35" s="2"/>
    </row>
    <row r="36" spans="1:15" ht="20" x14ac:dyDescent="0.4">
      <c r="A36" s="19"/>
      <c r="B36" s="20"/>
      <c r="C36" s="17"/>
      <c r="D36" s="17"/>
      <c r="E36" s="23"/>
      <c r="F36" s="17"/>
      <c r="G36" s="17"/>
      <c r="H36" s="17"/>
      <c r="I36" s="15"/>
      <c r="J36" s="1"/>
      <c r="K36" s="1"/>
      <c r="L36" s="1"/>
      <c r="M36" s="2"/>
      <c r="N36" s="2"/>
      <c r="O36" s="2"/>
    </row>
    <row r="37" spans="1:15" ht="20" x14ac:dyDescent="0.4">
      <c r="A37" s="19"/>
      <c r="B37" s="20"/>
      <c r="C37" s="17"/>
      <c r="D37" s="17"/>
      <c r="E37" s="17"/>
      <c r="F37" s="17"/>
      <c r="G37" s="17"/>
      <c r="H37" s="17"/>
      <c r="I37" s="15"/>
      <c r="J37" s="1"/>
      <c r="K37" s="1"/>
      <c r="L37" s="1"/>
      <c r="M37" s="2"/>
    </row>
    <row r="38" spans="1:15" ht="18.5" x14ac:dyDescent="0.45">
      <c r="A38" s="16"/>
      <c r="B38" s="16"/>
      <c r="C38" s="16"/>
      <c r="D38" s="16"/>
      <c r="E38" s="16"/>
      <c r="F38" s="16"/>
      <c r="G38" s="16"/>
      <c r="H38" s="16"/>
      <c r="I38" s="16"/>
    </row>
  </sheetData>
  <sortState ref="I6:I25">
    <sortCondition ref="I6:I25"/>
  </sortState>
  <mergeCells count="32">
    <mergeCell ref="Y7:Y9"/>
    <mergeCell ref="Y19:Y21"/>
    <mergeCell ref="F19:F21"/>
    <mergeCell ref="G19:G21"/>
    <mergeCell ref="H19:H21"/>
    <mergeCell ref="I19:I21"/>
    <mergeCell ref="P19:P21"/>
    <mergeCell ref="Q4:S4"/>
    <mergeCell ref="T4:W4"/>
    <mergeCell ref="G26:I26"/>
    <mergeCell ref="L27:M27"/>
    <mergeCell ref="L28:M28"/>
    <mergeCell ref="I7:I9"/>
    <mergeCell ref="G7:G9"/>
    <mergeCell ref="H7:H9"/>
    <mergeCell ref="P7:P9"/>
    <mergeCell ref="L29:M29"/>
    <mergeCell ref="A30:F30"/>
    <mergeCell ref="L30:M30"/>
    <mergeCell ref="M3:O3"/>
    <mergeCell ref="L5:M5"/>
    <mergeCell ref="A7:A9"/>
    <mergeCell ref="B7:B9"/>
    <mergeCell ref="C7:C9"/>
    <mergeCell ref="D7:D9"/>
    <mergeCell ref="E7:E9"/>
    <mergeCell ref="F7:F9"/>
    <mergeCell ref="A19:A21"/>
    <mergeCell ref="B19:B21"/>
    <mergeCell ref="C19:C21"/>
    <mergeCell ref="D19:D21"/>
    <mergeCell ref="E19:E21"/>
  </mergeCells>
  <pageMargins left="0.25" right="0.25" top="0.75" bottom="0.75" header="0.3" footer="0.3"/>
  <pageSetup paperSize="9" scale="3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5"/>
  <sheetViews>
    <sheetView topLeftCell="A7" zoomScale="40" zoomScaleNormal="40" zoomScaleSheetLayoutView="40" workbookViewId="0">
      <selection activeCell="A19" sqref="A19:A21"/>
    </sheetView>
  </sheetViews>
  <sheetFormatPr defaultColWidth="11.453125" defaultRowHeight="14.5" x14ac:dyDescent="0.35"/>
  <cols>
    <col min="1" max="1" width="12.08984375" customWidth="1"/>
    <col min="2" max="2" width="13" customWidth="1"/>
    <col min="3" max="3" width="15.453125" customWidth="1"/>
    <col min="4" max="5" width="14.453125" customWidth="1"/>
    <col min="6" max="6" width="19.90625" customWidth="1"/>
    <col min="7" max="7" width="18.08984375" customWidth="1"/>
    <col min="8" max="8" width="17.453125" bestFit="1" customWidth="1"/>
    <col min="9" max="9" width="30.453125" customWidth="1"/>
    <col min="10" max="10" width="50.90625" bestFit="1" customWidth="1"/>
    <col min="11" max="11" width="22.453125" bestFit="1" customWidth="1"/>
    <col min="12" max="12" width="11.453125" customWidth="1"/>
    <col min="13" max="14" width="10" customWidth="1"/>
    <col min="15" max="15" width="16.08984375" customWidth="1"/>
    <col min="16" max="16" width="15.90625" customWidth="1"/>
    <col min="17" max="17" width="11.90625" customWidth="1"/>
    <col min="18" max="18" width="6.453125" customWidth="1"/>
    <col min="19" max="19" width="13" customWidth="1"/>
    <col min="20" max="20" width="7" bestFit="1" customWidth="1"/>
    <col min="21" max="21" width="15.453125" customWidth="1"/>
    <col min="22" max="22" width="12.453125" bestFit="1" customWidth="1"/>
    <col min="23" max="23" width="13.453125" customWidth="1"/>
    <col min="24" max="24" width="8" bestFit="1" customWidth="1"/>
    <col min="25" max="25" width="61.453125" customWidth="1"/>
    <col min="26" max="26" width="10.453125" bestFit="1" customWidth="1"/>
    <col min="27" max="27" width="34.453125" customWidth="1"/>
  </cols>
  <sheetData>
    <row r="1" spans="1:27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7" ht="41.25" customHeight="1" x14ac:dyDescent="0.65">
      <c r="A2" s="84" t="s">
        <v>36</v>
      </c>
      <c r="B2" s="83"/>
      <c r="C2" s="98" t="s">
        <v>185</v>
      </c>
      <c r="D2" s="83"/>
      <c r="H2" s="91" t="s">
        <v>96</v>
      </c>
      <c r="I2" s="193" t="s">
        <v>199</v>
      </c>
      <c r="J2" s="89" t="s">
        <v>99</v>
      </c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7" ht="30" x14ac:dyDescent="0.6">
      <c r="A3" s="119" t="s">
        <v>136</v>
      </c>
      <c r="B3" s="120"/>
      <c r="C3" s="121">
        <v>4900</v>
      </c>
      <c r="D3" s="122" t="s">
        <v>201</v>
      </c>
      <c r="E3" s="1"/>
      <c r="F3" s="1"/>
      <c r="G3" s="1"/>
      <c r="H3" s="92" t="s">
        <v>97</v>
      </c>
      <c r="I3" s="193" t="s">
        <v>200</v>
      </c>
      <c r="J3" s="89" t="s">
        <v>100</v>
      </c>
      <c r="K3" s="1"/>
      <c r="L3" s="1"/>
      <c r="M3" s="831" t="s">
        <v>43</v>
      </c>
      <c r="N3" s="832"/>
      <c r="O3" s="832"/>
      <c r="P3" s="833"/>
      <c r="Q3" s="198"/>
      <c r="R3" s="198"/>
      <c r="S3" s="198"/>
      <c r="T3" s="198"/>
      <c r="U3" s="198"/>
      <c r="V3" s="198"/>
      <c r="W3" s="198"/>
      <c r="X3" s="198"/>
    </row>
    <row r="4" spans="1:27" ht="20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3" t="s">
        <v>48</v>
      </c>
    </row>
    <row r="5" spans="1:27" ht="63" thickBot="1" x14ac:dyDescent="0.6">
      <c r="A5" s="221" t="s">
        <v>98</v>
      </c>
      <c r="B5" s="221" t="s">
        <v>0</v>
      </c>
      <c r="C5" s="221" t="s">
        <v>17</v>
      </c>
      <c r="D5" s="221" t="s">
        <v>1</v>
      </c>
      <c r="E5" s="221" t="s">
        <v>2</v>
      </c>
      <c r="F5" s="222" t="s">
        <v>3</v>
      </c>
      <c r="G5" s="222" t="s">
        <v>4</v>
      </c>
      <c r="H5" s="222" t="s">
        <v>5</v>
      </c>
      <c r="I5" s="223" t="s">
        <v>16</v>
      </c>
      <c r="J5" s="224" t="s">
        <v>15</v>
      </c>
      <c r="K5" s="224" t="s">
        <v>66</v>
      </c>
      <c r="L5" s="844" t="s">
        <v>143</v>
      </c>
      <c r="M5" s="845"/>
      <c r="N5" s="844" t="s">
        <v>144</v>
      </c>
      <c r="O5" s="845"/>
      <c r="P5" s="844" t="s">
        <v>8</v>
      </c>
      <c r="Q5" s="845"/>
      <c r="R5" s="225" t="s">
        <v>41</v>
      </c>
      <c r="S5" s="225" t="s">
        <v>40</v>
      </c>
      <c r="T5" s="225" t="s">
        <v>184</v>
      </c>
      <c r="U5" s="225" t="s">
        <v>39</v>
      </c>
      <c r="V5" s="225" t="s">
        <v>178</v>
      </c>
      <c r="W5" s="225" t="s">
        <v>148</v>
      </c>
      <c r="X5" s="225" t="s">
        <v>42</v>
      </c>
      <c r="Y5" s="226"/>
      <c r="AA5" s="251">
        <f>SUM(P6:Q12,P15,P16:Q18,P21:Q22)</f>
        <v>15129.700000000013</v>
      </c>
    </row>
    <row r="6" spans="1:27" ht="46.5" customHeight="1" thickBot="1" x14ac:dyDescent="0.4">
      <c r="A6" s="209">
        <v>1</v>
      </c>
      <c r="B6" s="140">
        <v>5</v>
      </c>
      <c r="C6" s="140">
        <v>0.8</v>
      </c>
      <c r="D6" s="210">
        <f>ABS(F6/C6/60)</f>
        <v>0.14583333333333334</v>
      </c>
      <c r="E6" s="210">
        <f>D6+B6</f>
        <v>5.145833333333333</v>
      </c>
      <c r="F6" s="211">
        <v>-7</v>
      </c>
      <c r="G6" s="228">
        <f>$C$3-30</f>
        <v>4870</v>
      </c>
      <c r="H6" s="140"/>
      <c r="I6" s="164" t="s">
        <v>58</v>
      </c>
      <c r="J6" s="164" t="s">
        <v>149</v>
      </c>
      <c r="K6" s="140" t="s">
        <v>64</v>
      </c>
      <c r="L6" s="846">
        <v>10.169</v>
      </c>
      <c r="M6" s="846"/>
      <c r="N6" s="846">
        <v>11.074</v>
      </c>
      <c r="O6" s="846"/>
      <c r="P6" s="846">
        <f>(N6-L6)*1000</f>
        <v>904.99999999999932</v>
      </c>
      <c r="Q6" s="846"/>
      <c r="R6" s="213"/>
      <c r="S6" s="213"/>
      <c r="T6" s="213"/>
      <c r="U6" s="213" t="s">
        <v>54</v>
      </c>
      <c r="V6" s="213" t="s">
        <v>54</v>
      </c>
      <c r="W6" s="213"/>
      <c r="X6" s="213" t="s">
        <v>54</v>
      </c>
      <c r="Y6" s="220"/>
    </row>
    <row r="7" spans="1:27" ht="46.5" customHeight="1" thickBot="1" x14ac:dyDescent="0.6">
      <c r="A7" s="209">
        <v>2</v>
      </c>
      <c r="B7" s="140">
        <v>5</v>
      </c>
      <c r="C7" s="140">
        <v>0.8</v>
      </c>
      <c r="D7" s="210">
        <f t="shared" ref="D7:D13" si="0">(F7-F6)/C7/60</f>
        <v>0.39583333333333331</v>
      </c>
      <c r="E7" s="210">
        <f t="shared" ref="E7:E12" si="1">E6+B7+D7</f>
        <v>10.541666666666666</v>
      </c>
      <c r="F7" s="229">
        <f>G$6-G7-$F$28</f>
        <v>12</v>
      </c>
      <c r="G7" s="228">
        <f>C3-50</f>
        <v>4850</v>
      </c>
      <c r="H7" s="140"/>
      <c r="I7" s="164" t="s">
        <v>71</v>
      </c>
      <c r="J7" s="140" t="s">
        <v>131</v>
      </c>
      <c r="K7" s="140" t="s">
        <v>183</v>
      </c>
      <c r="L7" s="846">
        <v>66.662999999999997</v>
      </c>
      <c r="M7" s="846"/>
      <c r="N7" s="846">
        <v>67.727000000000004</v>
      </c>
      <c r="O7" s="846"/>
      <c r="P7" s="846">
        <f t="shared" ref="P7" si="2">(N7-L7)*1000</f>
        <v>1064.0000000000073</v>
      </c>
      <c r="Q7" s="846"/>
      <c r="R7" s="213"/>
      <c r="S7" s="213" t="s">
        <v>54</v>
      </c>
      <c r="T7" s="213"/>
      <c r="U7" s="258"/>
      <c r="V7" s="213"/>
      <c r="W7" s="213"/>
      <c r="X7" s="213"/>
      <c r="Y7" s="220"/>
    </row>
    <row r="8" spans="1:27" ht="46.5" customHeight="1" thickBot="1" x14ac:dyDescent="0.4">
      <c r="A8" s="209">
        <v>3</v>
      </c>
      <c r="B8" s="140">
        <v>5</v>
      </c>
      <c r="C8" s="140">
        <v>0.8</v>
      </c>
      <c r="D8" s="210">
        <f t="shared" si="0"/>
        <v>17.708333333333332</v>
      </c>
      <c r="E8" s="210">
        <f t="shared" si="1"/>
        <v>33.25</v>
      </c>
      <c r="F8" s="229">
        <f>G$7-G8+F7</f>
        <v>862</v>
      </c>
      <c r="G8" s="140">
        <v>4000</v>
      </c>
      <c r="H8" s="212"/>
      <c r="I8" s="164" t="s">
        <v>186</v>
      </c>
      <c r="J8" s="164" t="s">
        <v>130</v>
      </c>
      <c r="K8" s="140" t="s">
        <v>64</v>
      </c>
      <c r="L8" s="847">
        <v>5.26</v>
      </c>
      <c r="M8" s="847"/>
      <c r="N8" s="846">
        <v>6.3940000000000001</v>
      </c>
      <c r="O8" s="846"/>
      <c r="P8" s="846">
        <f t="shared" ref="P8:P21" si="3">(N8-L8)*1000</f>
        <v>1134.0000000000005</v>
      </c>
      <c r="Q8" s="846"/>
      <c r="R8" s="213"/>
      <c r="S8" s="213"/>
      <c r="T8" s="213"/>
      <c r="U8" s="213" t="s">
        <v>54</v>
      </c>
      <c r="V8" s="213" t="s">
        <v>54</v>
      </c>
      <c r="W8" s="213"/>
      <c r="X8" s="213" t="s">
        <v>54</v>
      </c>
      <c r="Y8" s="220"/>
    </row>
    <row r="9" spans="1:27" ht="46.5" customHeight="1" thickBot="1" x14ac:dyDescent="0.4">
      <c r="A9" s="209">
        <v>4</v>
      </c>
      <c r="B9" s="140">
        <v>5</v>
      </c>
      <c r="C9" s="140">
        <v>0.8</v>
      </c>
      <c r="D9" s="210">
        <f t="shared" si="0"/>
        <v>20.833333333333332</v>
      </c>
      <c r="E9" s="210">
        <f t="shared" si="1"/>
        <v>59.083333333333329</v>
      </c>
      <c r="F9" s="229">
        <f>G8-G9+F8</f>
        <v>1862</v>
      </c>
      <c r="G9" s="140">
        <v>3000</v>
      </c>
      <c r="H9" s="212"/>
      <c r="I9" s="164" t="s">
        <v>60</v>
      </c>
      <c r="J9" s="140" t="s">
        <v>129</v>
      </c>
      <c r="K9" s="140" t="s">
        <v>64</v>
      </c>
      <c r="L9" s="846">
        <v>47.213999999999999</v>
      </c>
      <c r="M9" s="846"/>
      <c r="N9" s="846">
        <v>48.094999999999999</v>
      </c>
      <c r="O9" s="846"/>
      <c r="P9" s="846">
        <f t="shared" si="3"/>
        <v>881.00000000000023</v>
      </c>
      <c r="Q9" s="846"/>
      <c r="R9" s="213"/>
      <c r="S9" s="213"/>
      <c r="T9" s="213"/>
      <c r="U9" s="213" t="s">
        <v>54</v>
      </c>
      <c r="V9" s="213" t="s">
        <v>54</v>
      </c>
      <c r="W9" s="213"/>
      <c r="X9" s="213" t="s">
        <v>54</v>
      </c>
      <c r="Y9" s="220"/>
    </row>
    <row r="10" spans="1:27" ht="46.5" customHeight="1" thickBot="1" x14ac:dyDescent="0.4">
      <c r="A10" s="209">
        <v>5</v>
      </c>
      <c r="B10" s="140">
        <v>5</v>
      </c>
      <c r="C10" s="140">
        <v>0.8</v>
      </c>
      <c r="D10" s="210">
        <f>(F10-F9)/C10/60</f>
        <v>30.208333333333332</v>
      </c>
      <c r="E10" s="210">
        <f t="shared" si="1"/>
        <v>94.291666666666657</v>
      </c>
      <c r="F10" s="211">
        <f t="shared" ref="F10:F12" si="4">G9-G10+F9</f>
        <v>3312</v>
      </c>
      <c r="G10" s="140">
        <v>1550</v>
      </c>
      <c r="H10" s="140"/>
      <c r="I10" s="164" t="s">
        <v>72</v>
      </c>
      <c r="J10" s="140" t="s">
        <v>132</v>
      </c>
      <c r="K10" s="140" t="s">
        <v>64</v>
      </c>
      <c r="L10" s="846">
        <v>92.350999999999999</v>
      </c>
      <c r="M10" s="846"/>
      <c r="N10" s="847">
        <v>93.54</v>
      </c>
      <c r="O10" s="847"/>
      <c r="P10" s="846">
        <f t="shared" si="3"/>
        <v>1189.0000000000073</v>
      </c>
      <c r="Q10" s="846"/>
      <c r="R10" s="213"/>
      <c r="S10" s="213"/>
      <c r="T10" s="213"/>
      <c r="U10" s="213" t="s">
        <v>54</v>
      </c>
      <c r="V10" s="213" t="s">
        <v>54</v>
      </c>
      <c r="W10" s="213"/>
      <c r="X10" s="213" t="s">
        <v>54</v>
      </c>
      <c r="Y10" s="321" t="s">
        <v>209</v>
      </c>
    </row>
    <row r="11" spans="1:27" ht="46.5" customHeight="1" thickBot="1" x14ac:dyDescent="0.4">
      <c r="A11" s="214">
        <v>6</v>
      </c>
      <c r="B11" s="203">
        <v>5</v>
      </c>
      <c r="C11" s="203">
        <v>0.8</v>
      </c>
      <c r="D11" s="205">
        <f t="shared" si="0"/>
        <v>11.458333333333334</v>
      </c>
      <c r="E11" s="205">
        <f t="shared" si="1"/>
        <v>110.74999999999999</v>
      </c>
      <c r="F11" s="206">
        <f t="shared" si="4"/>
        <v>3862</v>
      </c>
      <c r="G11" s="203">
        <v>1000</v>
      </c>
      <c r="H11" s="203"/>
      <c r="I11" s="207" t="s">
        <v>59</v>
      </c>
      <c r="J11" s="203" t="s">
        <v>128</v>
      </c>
      <c r="K11" s="203" t="s">
        <v>64</v>
      </c>
      <c r="L11" s="743">
        <v>28.646000000000001</v>
      </c>
      <c r="M11" s="743"/>
      <c r="N11" s="743">
        <v>29.783999999999999</v>
      </c>
      <c r="O11" s="743"/>
      <c r="P11" s="743">
        <f t="shared" si="3"/>
        <v>1137.9999999999982</v>
      </c>
      <c r="Q11" s="743"/>
      <c r="R11" s="141"/>
      <c r="S11" s="141"/>
      <c r="T11" s="141"/>
      <c r="U11" s="141" t="s">
        <v>54</v>
      </c>
      <c r="V11" s="141" t="s">
        <v>54</v>
      </c>
      <c r="W11" s="141"/>
      <c r="X11" s="141" t="s">
        <v>54</v>
      </c>
      <c r="Y11" s="227"/>
    </row>
    <row r="12" spans="1:27" ht="46.5" customHeight="1" thickBot="1" x14ac:dyDescent="0.4">
      <c r="A12" s="209">
        <v>7</v>
      </c>
      <c r="B12" s="140">
        <v>5</v>
      </c>
      <c r="C12" s="140">
        <v>0.8</v>
      </c>
      <c r="D12" s="210">
        <f t="shared" si="0"/>
        <v>0.41666666666666669</v>
      </c>
      <c r="E12" s="210">
        <f t="shared" si="1"/>
        <v>116.16666666666666</v>
      </c>
      <c r="F12" s="211">
        <f t="shared" si="4"/>
        <v>3882</v>
      </c>
      <c r="G12" s="140">
        <v>980</v>
      </c>
      <c r="H12" s="212"/>
      <c r="I12" s="164" t="s">
        <v>57</v>
      </c>
      <c r="J12" s="140" t="s">
        <v>126</v>
      </c>
      <c r="K12" s="140" t="s">
        <v>116</v>
      </c>
      <c r="L12" s="846">
        <v>23.221</v>
      </c>
      <c r="M12" s="846"/>
      <c r="N12" s="846">
        <v>24.481999999999999</v>
      </c>
      <c r="O12" s="846"/>
      <c r="P12" s="846">
        <f t="shared" si="3"/>
        <v>1260.9999999999993</v>
      </c>
      <c r="Q12" s="846"/>
      <c r="R12" s="213" t="s">
        <v>54</v>
      </c>
      <c r="S12" s="213" t="s">
        <v>54</v>
      </c>
      <c r="T12" s="213" t="s">
        <v>54</v>
      </c>
      <c r="U12" s="213"/>
      <c r="V12" s="213"/>
      <c r="W12" s="213"/>
      <c r="X12" s="213"/>
      <c r="Y12" s="220"/>
    </row>
    <row r="13" spans="1:27" ht="46.5" customHeight="1" x14ac:dyDescent="0.35">
      <c r="A13" s="848">
        <v>8</v>
      </c>
      <c r="B13" s="823">
        <v>5</v>
      </c>
      <c r="C13" s="806">
        <v>0.8</v>
      </c>
      <c r="D13" s="851">
        <f t="shared" si="0"/>
        <v>12.083333333333334</v>
      </c>
      <c r="E13" s="851">
        <f>E12+B13+D13</f>
        <v>133.25</v>
      </c>
      <c r="F13" s="820">
        <f>G12-G13+F12</f>
        <v>4462</v>
      </c>
      <c r="G13" s="823">
        <v>400</v>
      </c>
      <c r="H13" s="824"/>
      <c r="I13" s="854" t="s">
        <v>27</v>
      </c>
      <c r="J13" s="208" t="s">
        <v>150</v>
      </c>
      <c r="K13" s="208" t="s">
        <v>64</v>
      </c>
      <c r="L13" s="823">
        <v>2.6389999999999998</v>
      </c>
      <c r="M13" s="823"/>
      <c r="N13" s="823">
        <v>3.1570999999999998</v>
      </c>
      <c r="O13" s="823"/>
      <c r="P13" s="823">
        <f t="shared" ref="P13:P15" si="5">(N13-L13)*1000</f>
        <v>518.1</v>
      </c>
      <c r="Q13" s="823"/>
      <c r="R13" s="216"/>
      <c r="S13" s="216"/>
      <c r="T13" s="216"/>
      <c r="U13" s="216" t="s">
        <v>54</v>
      </c>
      <c r="V13" s="216" t="s">
        <v>54</v>
      </c>
      <c r="W13" s="216" t="s">
        <v>54</v>
      </c>
      <c r="X13" s="216" t="s">
        <v>54</v>
      </c>
      <c r="Y13" s="217"/>
    </row>
    <row r="14" spans="1:27" ht="46.5" customHeight="1" x14ac:dyDescent="0.35">
      <c r="A14" s="849"/>
      <c r="B14" s="740"/>
      <c r="C14" s="742"/>
      <c r="D14" s="852"/>
      <c r="E14" s="852"/>
      <c r="F14" s="821"/>
      <c r="G14" s="740"/>
      <c r="H14" s="825"/>
      <c r="I14" s="737"/>
      <c r="J14" s="201" t="s">
        <v>151</v>
      </c>
      <c r="K14" s="201" t="s">
        <v>116</v>
      </c>
      <c r="L14" s="740">
        <v>2.8944000000000001</v>
      </c>
      <c r="M14" s="740"/>
      <c r="N14" s="740">
        <v>3.8940999999999999</v>
      </c>
      <c r="O14" s="740"/>
      <c r="P14" s="740">
        <f t="shared" si="5"/>
        <v>999.69999999999982</v>
      </c>
      <c r="Q14" s="740"/>
      <c r="R14" s="167" t="s">
        <v>54</v>
      </c>
      <c r="S14" s="167" t="s">
        <v>54</v>
      </c>
      <c r="T14" s="167"/>
      <c r="U14" s="167"/>
      <c r="V14" s="167"/>
      <c r="W14" s="167"/>
      <c r="X14" s="167"/>
      <c r="Y14" s="218"/>
    </row>
    <row r="15" spans="1:27" ht="46.5" customHeight="1" thickBot="1" x14ac:dyDescent="0.4">
      <c r="A15" s="850"/>
      <c r="B15" s="741"/>
      <c r="C15" s="743"/>
      <c r="D15" s="853"/>
      <c r="E15" s="853"/>
      <c r="F15" s="822"/>
      <c r="G15" s="741"/>
      <c r="H15" s="826"/>
      <c r="I15" s="738"/>
      <c r="J15" s="202" t="s">
        <v>179</v>
      </c>
      <c r="K15" s="202"/>
      <c r="L15" s="741">
        <v>5.3105000000000002</v>
      </c>
      <c r="M15" s="741"/>
      <c r="N15" s="741">
        <v>6.8193000000000001</v>
      </c>
      <c r="O15" s="741"/>
      <c r="P15" s="741">
        <f t="shared" si="5"/>
        <v>1508.8</v>
      </c>
      <c r="Q15" s="741"/>
      <c r="R15" s="168"/>
      <c r="S15" s="168"/>
      <c r="T15" s="168"/>
      <c r="U15" s="168"/>
      <c r="V15" s="168"/>
      <c r="W15" s="168"/>
      <c r="X15" s="168"/>
      <c r="Y15" s="219"/>
    </row>
    <row r="16" spans="1:27" ht="46.5" customHeight="1" thickBot="1" x14ac:dyDescent="0.4">
      <c r="A16" s="209">
        <v>9</v>
      </c>
      <c r="B16" s="140">
        <v>5</v>
      </c>
      <c r="C16" s="140">
        <v>0.8</v>
      </c>
      <c r="D16" s="210">
        <f>(F16-F13)/C16/60</f>
        <v>4.166666666666667</v>
      </c>
      <c r="E16" s="210">
        <f>E13+B16+D16</f>
        <v>142.41666666666666</v>
      </c>
      <c r="F16" s="211">
        <f>G13-G16+F13</f>
        <v>4662</v>
      </c>
      <c r="G16" s="140">
        <v>200</v>
      </c>
      <c r="H16" s="212"/>
      <c r="I16" s="164" t="s">
        <v>187</v>
      </c>
      <c r="J16" s="140" t="s">
        <v>134</v>
      </c>
      <c r="K16" s="140" t="s">
        <v>116</v>
      </c>
      <c r="L16" s="847">
        <v>74.58</v>
      </c>
      <c r="M16" s="847"/>
      <c r="N16" s="847">
        <v>75.98</v>
      </c>
      <c r="O16" s="847"/>
      <c r="P16" s="846">
        <f t="shared" si="3"/>
        <v>1400.0000000000057</v>
      </c>
      <c r="Q16" s="846"/>
      <c r="R16" s="213" t="s">
        <v>54</v>
      </c>
      <c r="S16" s="213" t="s">
        <v>54</v>
      </c>
      <c r="T16" s="213"/>
      <c r="U16" s="213"/>
      <c r="V16" s="213"/>
      <c r="W16" s="213"/>
      <c r="X16" s="213"/>
      <c r="Y16" s="220"/>
    </row>
    <row r="17" spans="1:25" ht="46.5" customHeight="1" thickBot="1" x14ac:dyDescent="0.4">
      <c r="A17" s="209">
        <v>10</v>
      </c>
      <c r="B17" s="140">
        <v>5</v>
      </c>
      <c r="C17" s="140">
        <v>0.8</v>
      </c>
      <c r="D17" s="210">
        <f>(F17-F16)/C17/60</f>
        <v>1.0416666666666667</v>
      </c>
      <c r="E17" s="210">
        <f>E16+B17+D17</f>
        <v>148.45833333333331</v>
      </c>
      <c r="F17" s="211">
        <f>G16-G17+F16</f>
        <v>4712</v>
      </c>
      <c r="G17" s="140">
        <v>150</v>
      </c>
      <c r="H17" s="212"/>
      <c r="I17" s="164" t="s">
        <v>61</v>
      </c>
      <c r="J17" s="140" t="s">
        <v>127</v>
      </c>
      <c r="K17" s="140" t="s">
        <v>116</v>
      </c>
      <c r="L17" s="846">
        <v>44.494999999999997</v>
      </c>
      <c r="M17" s="846"/>
      <c r="N17" s="846">
        <v>45.847999999999999</v>
      </c>
      <c r="O17" s="846"/>
      <c r="P17" s="846">
        <f t="shared" si="3"/>
        <v>1353.0000000000016</v>
      </c>
      <c r="Q17" s="846"/>
      <c r="R17" s="213" t="s">
        <v>54</v>
      </c>
      <c r="S17" s="213" t="s">
        <v>54</v>
      </c>
      <c r="T17" s="213"/>
      <c r="U17" s="213"/>
      <c r="V17" s="213"/>
      <c r="W17" s="213"/>
      <c r="X17" s="213"/>
      <c r="Y17" s="220" t="s">
        <v>196</v>
      </c>
    </row>
    <row r="18" spans="1:25" ht="46.5" customHeight="1" thickBot="1" x14ac:dyDescent="0.4">
      <c r="A18" s="209">
        <v>11</v>
      </c>
      <c r="B18" s="140">
        <v>5</v>
      </c>
      <c r="C18" s="140">
        <v>0.8</v>
      </c>
      <c r="D18" s="210">
        <f>(F18-F17)/C18/60</f>
        <v>1.0416666666666667</v>
      </c>
      <c r="E18" s="210">
        <f>E17+B18+D18</f>
        <v>154.49999999999997</v>
      </c>
      <c r="F18" s="211">
        <f>G17-G18+F17</f>
        <v>4762</v>
      </c>
      <c r="G18" s="140">
        <v>100</v>
      </c>
      <c r="H18" s="212"/>
      <c r="I18" s="164" t="s">
        <v>67</v>
      </c>
      <c r="J18" s="140" t="s">
        <v>133</v>
      </c>
      <c r="K18" s="140" t="s">
        <v>116</v>
      </c>
      <c r="L18" s="846">
        <v>72.426000000000002</v>
      </c>
      <c r="M18" s="846"/>
      <c r="N18" s="846">
        <v>73.674999999999997</v>
      </c>
      <c r="O18" s="846"/>
      <c r="P18" s="846">
        <f t="shared" si="3"/>
        <v>1248.9999999999952</v>
      </c>
      <c r="Q18" s="846"/>
      <c r="R18" s="213" t="s">
        <v>54</v>
      </c>
      <c r="S18" s="213" t="s">
        <v>54</v>
      </c>
      <c r="T18" s="213"/>
      <c r="U18" s="213"/>
      <c r="V18" s="213"/>
      <c r="W18" s="213"/>
      <c r="X18" s="213"/>
      <c r="Y18" s="227" t="s">
        <v>196</v>
      </c>
    </row>
    <row r="19" spans="1:25" ht="46.5" customHeight="1" x14ac:dyDescent="0.35">
      <c r="A19" s="848">
        <v>12</v>
      </c>
      <c r="B19" s="823">
        <v>5</v>
      </c>
      <c r="C19" s="806">
        <v>0.8</v>
      </c>
      <c r="D19" s="851">
        <f>(F19-F18)/C19/60</f>
        <v>0.625</v>
      </c>
      <c r="E19" s="851">
        <f>E18+B19+D19</f>
        <v>160.12499999999997</v>
      </c>
      <c r="F19" s="820">
        <f>G18-G19+F18</f>
        <v>4792</v>
      </c>
      <c r="G19" s="823">
        <v>70</v>
      </c>
      <c r="H19" s="823"/>
      <c r="I19" s="854" t="s">
        <v>23</v>
      </c>
      <c r="J19" s="208" t="s">
        <v>150</v>
      </c>
      <c r="K19" s="208" t="s">
        <v>64</v>
      </c>
      <c r="L19" s="823">
        <v>2.0659999999999998</v>
      </c>
      <c r="M19" s="823"/>
      <c r="N19" s="823">
        <v>2.4165000000000001</v>
      </c>
      <c r="O19" s="823"/>
      <c r="P19" s="823">
        <f t="shared" si="3"/>
        <v>350.50000000000023</v>
      </c>
      <c r="Q19" s="823"/>
      <c r="R19" s="216"/>
      <c r="S19" s="216"/>
      <c r="T19" s="216"/>
      <c r="U19" s="216" t="s">
        <v>54</v>
      </c>
      <c r="V19" s="216" t="s">
        <v>54</v>
      </c>
      <c r="W19" s="216" t="s">
        <v>54</v>
      </c>
      <c r="X19" s="216" t="s">
        <v>54</v>
      </c>
      <c r="Y19" s="322" t="s">
        <v>210</v>
      </c>
    </row>
    <row r="20" spans="1:25" ht="46.5" customHeight="1" x14ac:dyDescent="0.35">
      <c r="A20" s="849"/>
      <c r="B20" s="740"/>
      <c r="C20" s="742"/>
      <c r="D20" s="852"/>
      <c r="E20" s="852"/>
      <c r="F20" s="821"/>
      <c r="G20" s="740"/>
      <c r="H20" s="740"/>
      <c r="I20" s="737"/>
      <c r="J20" s="201" t="s">
        <v>151</v>
      </c>
      <c r="K20" s="201" t="s">
        <v>116</v>
      </c>
      <c r="L20" s="740">
        <v>2.6211000000000002</v>
      </c>
      <c r="M20" s="740"/>
      <c r="N20" s="740">
        <v>3.5093000000000001</v>
      </c>
      <c r="O20" s="740"/>
      <c r="P20" s="740">
        <f t="shared" si="3"/>
        <v>888.19999999999993</v>
      </c>
      <c r="Q20" s="740"/>
      <c r="R20" s="167" t="s">
        <v>54</v>
      </c>
      <c r="S20" s="167" t="s">
        <v>54</v>
      </c>
      <c r="T20" s="167"/>
      <c r="U20" s="167"/>
      <c r="V20" s="167"/>
      <c r="W20" s="167"/>
      <c r="X20" s="167"/>
      <c r="Y20" s="286" t="s">
        <v>211</v>
      </c>
    </row>
    <row r="21" spans="1:25" ht="46.5" customHeight="1" thickBot="1" x14ac:dyDescent="0.4">
      <c r="A21" s="850"/>
      <c r="B21" s="741"/>
      <c r="C21" s="743"/>
      <c r="D21" s="853"/>
      <c r="E21" s="853"/>
      <c r="F21" s="822"/>
      <c r="G21" s="741"/>
      <c r="H21" s="741"/>
      <c r="I21" s="738"/>
      <c r="J21" s="202" t="s">
        <v>179</v>
      </c>
      <c r="K21" s="202"/>
      <c r="L21" s="741">
        <v>4.5309999999999997</v>
      </c>
      <c r="M21" s="741"/>
      <c r="N21" s="741">
        <v>5.7702999999999998</v>
      </c>
      <c r="O21" s="741"/>
      <c r="P21" s="741">
        <f t="shared" si="3"/>
        <v>1239.3000000000002</v>
      </c>
      <c r="Q21" s="741"/>
      <c r="R21" s="168"/>
      <c r="S21" s="168"/>
      <c r="T21" s="168"/>
      <c r="U21" s="168"/>
      <c r="V21" s="168"/>
      <c r="W21" s="168"/>
      <c r="X21" s="168"/>
      <c r="Y21" s="219"/>
    </row>
    <row r="22" spans="1:25" ht="46.5" customHeight="1" thickBot="1" x14ac:dyDescent="0.4">
      <c r="A22" s="214">
        <v>13</v>
      </c>
      <c r="B22" s="203">
        <v>5</v>
      </c>
      <c r="C22" s="203">
        <v>0.8</v>
      </c>
      <c r="D22" s="205">
        <f>(F22-F12)/C22/60</f>
        <v>19.791666666666668</v>
      </c>
      <c r="E22" s="205">
        <f>E19+B22+D22</f>
        <v>184.91666666666663</v>
      </c>
      <c r="F22" s="206">
        <f>G19-G22+F19</f>
        <v>4832</v>
      </c>
      <c r="G22" s="203">
        <v>30</v>
      </c>
      <c r="H22" s="204"/>
      <c r="I22" s="207" t="s">
        <v>69</v>
      </c>
      <c r="J22" s="203" t="s">
        <v>135</v>
      </c>
      <c r="K22" s="203" t="s">
        <v>116</v>
      </c>
      <c r="L22" s="743">
        <v>2.6219999999999999</v>
      </c>
      <c r="M22" s="743"/>
      <c r="N22" s="743">
        <v>3.4296000000000002</v>
      </c>
      <c r="O22" s="743"/>
      <c r="P22" s="743">
        <f>(N22-L22)*1000</f>
        <v>807.60000000000036</v>
      </c>
      <c r="Q22" s="743"/>
      <c r="R22" s="141" t="s">
        <v>54</v>
      </c>
      <c r="S22" s="141" t="s">
        <v>54</v>
      </c>
      <c r="T22" s="141" t="s">
        <v>54</v>
      </c>
      <c r="U22" s="141"/>
      <c r="V22" s="141"/>
      <c r="W22" s="141"/>
      <c r="X22" s="141"/>
      <c r="Y22" s="215" t="s">
        <v>210</v>
      </c>
    </row>
    <row r="23" spans="1:25" ht="47.9" customHeight="1" thickBot="1" x14ac:dyDescent="0.6">
      <c r="A23" s="24" t="s">
        <v>10</v>
      </c>
      <c r="B23" s="194">
        <f>SUM(B6:B22)</f>
        <v>65</v>
      </c>
      <c r="C23" s="194"/>
      <c r="D23" s="200">
        <f>SUM(D6:D22)</f>
        <v>119.91666666666667</v>
      </c>
      <c r="E23" s="200"/>
      <c r="F23" s="144">
        <f>G6</f>
        <v>4870</v>
      </c>
      <c r="G23" s="196" t="s">
        <v>18</v>
      </c>
      <c r="H23" s="197"/>
      <c r="I23" s="197"/>
      <c r="J23" s="22"/>
      <c r="K23" s="97" t="s">
        <v>103</v>
      </c>
      <c r="L23" s="855" t="s">
        <v>102</v>
      </c>
      <c r="M23" s="855"/>
      <c r="N23" s="855" t="s">
        <v>53</v>
      </c>
      <c r="O23" s="855"/>
    </row>
    <row r="24" spans="1:25" ht="48.75" customHeight="1" x14ac:dyDescent="0.35">
      <c r="A24" s="26" t="s">
        <v>12</v>
      </c>
      <c r="B24" s="195">
        <f>B23/60</f>
        <v>1.0833333333333333</v>
      </c>
      <c r="C24" s="195"/>
      <c r="D24" s="199" t="s">
        <v>14</v>
      </c>
      <c r="E24" s="199"/>
      <c r="F24" s="27"/>
      <c r="J24" s="95" t="s">
        <v>145</v>
      </c>
      <c r="K24" s="30">
        <v>44220</v>
      </c>
      <c r="L24" s="829">
        <v>0.15625</v>
      </c>
      <c r="M24" s="830"/>
      <c r="N24" s="803">
        <v>3.125E-2</v>
      </c>
      <c r="O24" s="803"/>
    </row>
    <row r="25" spans="1:25" ht="55.4" customHeight="1" x14ac:dyDescent="0.6">
      <c r="H25" s="120"/>
      <c r="J25" s="96" t="s">
        <v>45</v>
      </c>
      <c r="K25" s="30">
        <f>K24</f>
        <v>44220</v>
      </c>
      <c r="L25" s="762">
        <v>0.25</v>
      </c>
      <c r="M25" s="766"/>
      <c r="N25" s="765">
        <v>0.125</v>
      </c>
      <c r="O25" s="765"/>
      <c r="S25" s="257"/>
    </row>
    <row r="26" spans="1:25" ht="50.25" customHeight="1" x14ac:dyDescent="0.35">
      <c r="A26" s="1"/>
      <c r="B26" s="1"/>
      <c r="C26" s="1"/>
      <c r="D26" s="1"/>
      <c r="E26" s="1"/>
      <c r="F26" s="1"/>
      <c r="G26" s="1"/>
      <c r="J26" s="96" t="s">
        <v>46</v>
      </c>
      <c r="K26" s="30">
        <f>K25</f>
        <v>44220</v>
      </c>
      <c r="L26" s="762">
        <v>0.375</v>
      </c>
      <c r="M26" s="766"/>
      <c r="N26" s="765">
        <v>0.25</v>
      </c>
      <c r="O26" s="765"/>
      <c r="Y26" s="323" t="s">
        <v>197</v>
      </c>
    </row>
    <row r="27" spans="1:25" ht="50.25" customHeight="1" x14ac:dyDescent="0.6">
      <c r="A27" s="805" t="s">
        <v>52</v>
      </c>
      <c r="B27" s="805"/>
      <c r="C27" s="805"/>
      <c r="D27" s="805"/>
      <c r="E27" s="805"/>
      <c r="F27" s="805"/>
      <c r="J27" s="96" t="s">
        <v>47</v>
      </c>
      <c r="K27" s="30">
        <f>K26</f>
        <v>44220</v>
      </c>
      <c r="L27" s="762">
        <v>0.46875</v>
      </c>
      <c r="M27" s="766"/>
      <c r="N27" s="765">
        <v>0.34375</v>
      </c>
      <c r="O27" s="765"/>
      <c r="S27" s="257"/>
      <c r="Y27" s="324" t="s">
        <v>212</v>
      </c>
    </row>
    <row r="28" spans="1:25" ht="20" x14ac:dyDescent="0.4">
      <c r="A28" s="17" t="s">
        <v>51</v>
      </c>
      <c r="B28" s="17"/>
      <c r="C28" s="17"/>
      <c r="F28" s="22">
        <v>8</v>
      </c>
      <c r="G28" s="20" t="s">
        <v>11</v>
      </c>
      <c r="J28" s="17"/>
      <c r="K28" s="19"/>
    </row>
    <row r="29" spans="1:25" ht="60" customHeight="1" x14ac:dyDescent="0.4">
      <c r="F29" s="17"/>
      <c r="G29" s="17"/>
      <c r="J29" s="10" t="s">
        <v>50</v>
      </c>
      <c r="K29" s="31">
        <f>E22</f>
        <v>184.91666666666663</v>
      </c>
    </row>
    <row r="30" spans="1:25" ht="78" customHeight="1" x14ac:dyDescent="0.45">
      <c r="F30" s="17"/>
      <c r="G30" s="17"/>
      <c r="H30" s="17"/>
      <c r="I30" s="15"/>
      <c r="J30" s="10" t="s">
        <v>49</v>
      </c>
      <c r="K30" s="31">
        <f>D23+5*A22</f>
        <v>184.91666666666669</v>
      </c>
      <c r="O30" s="16"/>
    </row>
    <row r="31" spans="1:25" ht="57.75" customHeight="1" x14ac:dyDescent="0.4">
      <c r="A31" s="19"/>
      <c r="B31" s="20"/>
      <c r="C31" s="17"/>
      <c r="I31" s="9"/>
      <c r="J31" s="1"/>
      <c r="K31" s="1"/>
      <c r="L31" s="1"/>
      <c r="M31" s="2"/>
      <c r="N31" s="2"/>
    </row>
    <row r="32" spans="1:25" ht="20" x14ac:dyDescent="0.4">
      <c r="C32" s="17"/>
      <c r="D32" s="17"/>
      <c r="E32" s="17" t="s">
        <v>14</v>
      </c>
      <c r="F32" s="17"/>
      <c r="I32" s="231"/>
      <c r="J32" s="230"/>
      <c r="K32" s="22"/>
      <c r="L32" s="22"/>
      <c r="M32" s="4"/>
      <c r="N32" s="2"/>
    </row>
    <row r="33" spans="1:23" ht="20" x14ac:dyDescent="0.4">
      <c r="A33" s="19"/>
      <c r="B33" s="20"/>
      <c r="C33" s="17"/>
      <c r="D33" s="17"/>
      <c r="E33" s="23"/>
      <c r="F33" s="17"/>
      <c r="G33" s="17"/>
      <c r="H33" s="17"/>
      <c r="I33" s="231"/>
      <c r="J33" s="232"/>
      <c r="K33" s="232"/>
      <c r="L33" s="232"/>
      <c r="M33" s="4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20" x14ac:dyDescent="0.4">
      <c r="A34" s="19"/>
      <c r="B34" s="20"/>
      <c r="C34" s="17"/>
      <c r="D34" s="17"/>
      <c r="E34" s="17"/>
      <c r="F34" s="17"/>
      <c r="G34" s="17"/>
      <c r="H34" s="17"/>
      <c r="I34" s="15"/>
      <c r="J34" s="1"/>
      <c r="K34" s="1"/>
      <c r="L34" s="1"/>
      <c r="M34" s="2"/>
      <c r="N34" s="2"/>
    </row>
    <row r="35" spans="1:23" ht="18.5" x14ac:dyDescent="0.45">
      <c r="A35" s="16"/>
      <c r="B35" s="16"/>
      <c r="C35" s="16"/>
      <c r="D35" s="16"/>
      <c r="E35" s="16"/>
      <c r="F35" s="16"/>
      <c r="G35" s="16"/>
      <c r="H35" s="16"/>
      <c r="I35" s="16"/>
    </row>
  </sheetData>
  <mergeCells count="84">
    <mergeCell ref="L15:M15"/>
    <mergeCell ref="N15:O15"/>
    <mergeCell ref="P15:Q15"/>
    <mergeCell ref="L13:M13"/>
    <mergeCell ref="N13:O13"/>
    <mergeCell ref="P13:Q13"/>
    <mergeCell ref="L14:M14"/>
    <mergeCell ref="N14:O14"/>
    <mergeCell ref="P14:Q14"/>
    <mergeCell ref="I13:I15"/>
    <mergeCell ref="A13:A15"/>
    <mergeCell ref="B13:B15"/>
    <mergeCell ref="C13:C15"/>
    <mergeCell ref="D13:D15"/>
    <mergeCell ref="E13:E15"/>
    <mergeCell ref="F13:F15"/>
    <mergeCell ref="G13:G15"/>
    <mergeCell ref="H13:H15"/>
    <mergeCell ref="P7:Q7"/>
    <mergeCell ref="L26:M26"/>
    <mergeCell ref="N26:O26"/>
    <mergeCell ref="A27:F27"/>
    <mergeCell ref="L27:M27"/>
    <mergeCell ref="N27:O27"/>
    <mergeCell ref="L7:M7"/>
    <mergeCell ref="N7:O7"/>
    <mergeCell ref="L23:M23"/>
    <mergeCell ref="N23:O23"/>
    <mergeCell ref="L24:M24"/>
    <mergeCell ref="N24:O24"/>
    <mergeCell ref="L25:M25"/>
    <mergeCell ref="N25:O25"/>
    <mergeCell ref="N21:O21"/>
    <mergeCell ref="P21:Q21"/>
    <mergeCell ref="P20:Q20"/>
    <mergeCell ref="G19:G21"/>
    <mergeCell ref="H19:H21"/>
    <mergeCell ref="F19:F21"/>
    <mergeCell ref="I19:I21"/>
    <mergeCell ref="L19:M19"/>
    <mergeCell ref="L21:M21"/>
    <mergeCell ref="A19:A21"/>
    <mergeCell ref="B19:B21"/>
    <mergeCell ref="C19:C21"/>
    <mergeCell ref="D19:D21"/>
    <mergeCell ref="E19:E21"/>
    <mergeCell ref="L22:M22"/>
    <mergeCell ref="N22:O22"/>
    <mergeCell ref="P22:Q22"/>
    <mergeCell ref="L16:M16"/>
    <mergeCell ref="N16:O16"/>
    <mergeCell ref="P16:Q16"/>
    <mergeCell ref="L17:M17"/>
    <mergeCell ref="N17:O17"/>
    <mergeCell ref="P17:Q17"/>
    <mergeCell ref="L18:M18"/>
    <mergeCell ref="N18:O18"/>
    <mergeCell ref="P18:Q18"/>
    <mergeCell ref="N19:O19"/>
    <mergeCell ref="P19:Q19"/>
    <mergeCell ref="L20:M20"/>
    <mergeCell ref="N20:O20"/>
    <mergeCell ref="L11:M11"/>
    <mergeCell ref="N11:O11"/>
    <mergeCell ref="P11:Q11"/>
    <mergeCell ref="L12:M12"/>
    <mergeCell ref="N12:O12"/>
    <mergeCell ref="P12:Q12"/>
    <mergeCell ref="L10:M10"/>
    <mergeCell ref="N10:O10"/>
    <mergeCell ref="P10:Q10"/>
    <mergeCell ref="L8:M8"/>
    <mergeCell ref="N8:O8"/>
    <mergeCell ref="P8:Q8"/>
    <mergeCell ref="L9:M9"/>
    <mergeCell ref="N9:O9"/>
    <mergeCell ref="P9:Q9"/>
    <mergeCell ref="M3:P3"/>
    <mergeCell ref="L5:M5"/>
    <mergeCell ref="N5:O5"/>
    <mergeCell ref="P5:Q5"/>
    <mergeCell ref="L6:M6"/>
    <mergeCell ref="N6:O6"/>
    <mergeCell ref="P6:Q6"/>
  </mergeCells>
  <pageMargins left="0.7" right="0.7" top="0.75" bottom="0.75" header="0.3" footer="0.3"/>
  <pageSetup paperSize="9" scale="26" orientation="landscape" r:id="rId1"/>
  <rowBreaks count="1" manualBreakCount="1">
    <brk id="22" max="16383" man="1"/>
  </rowBreaks>
  <colBreaks count="1" manualBreakCount="1">
    <brk id="2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opLeftCell="A12" zoomScale="40" zoomScaleNormal="40" workbookViewId="0">
      <selection activeCell="T6" sqref="T6"/>
    </sheetView>
  </sheetViews>
  <sheetFormatPr defaultColWidth="11.453125" defaultRowHeight="14.5" x14ac:dyDescent="0.35"/>
  <cols>
    <col min="1" max="1" width="12.08984375" customWidth="1"/>
    <col min="2" max="2" width="13" customWidth="1"/>
    <col min="3" max="3" width="15.453125" customWidth="1"/>
    <col min="4" max="5" width="14.453125" customWidth="1"/>
    <col min="6" max="6" width="19.90625" customWidth="1"/>
    <col min="7" max="7" width="13.453125" customWidth="1"/>
    <col min="8" max="8" width="13.90625" customWidth="1"/>
    <col min="9" max="9" width="14" customWidth="1"/>
    <col min="10" max="10" width="23.453125" customWidth="1"/>
    <col min="11" max="11" width="19.453125" bestFit="1" customWidth="1"/>
    <col min="12" max="12" width="20.08984375" customWidth="1"/>
    <col min="13" max="13" width="23.453125" customWidth="1"/>
    <col min="14" max="14" width="29.08984375" customWidth="1"/>
    <col min="15" max="15" width="19.453125" bestFit="1" customWidth="1"/>
    <col min="16" max="16" width="9.08984375" customWidth="1"/>
    <col min="17" max="17" width="102.08984375" bestFit="1" customWidth="1"/>
    <col min="18" max="18" width="10.453125" customWidth="1"/>
    <col min="19" max="19" width="10.453125" bestFit="1" customWidth="1"/>
    <col min="20" max="20" width="34.453125" customWidth="1"/>
  </cols>
  <sheetData>
    <row r="1" spans="1:20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</row>
    <row r="2" spans="1:20" ht="32.5" x14ac:dyDescent="0.65">
      <c r="A2" s="84" t="s">
        <v>36</v>
      </c>
      <c r="B2" s="83"/>
      <c r="C2" s="98" t="s">
        <v>191</v>
      </c>
      <c r="D2" s="83"/>
      <c r="H2" s="91" t="s">
        <v>96</v>
      </c>
      <c r="I2" s="120" t="s">
        <v>199</v>
      </c>
      <c r="K2" s="89" t="s">
        <v>99</v>
      </c>
      <c r="L2" s="1"/>
      <c r="M2" s="2"/>
      <c r="N2" s="2"/>
      <c r="O2" s="2"/>
    </row>
    <row r="3" spans="1:20" ht="30" x14ac:dyDescent="0.6">
      <c r="A3" s="119" t="s">
        <v>136</v>
      </c>
      <c r="B3" s="120"/>
      <c r="C3" s="121">
        <v>4900</v>
      </c>
      <c r="D3" s="122" t="s">
        <v>11</v>
      </c>
      <c r="E3" s="1" t="s">
        <v>201</v>
      </c>
      <c r="F3" s="1"/>
      <c r="G3" s="1"/>
      <c r="H3" s="92" t="s">
        <v>97</v>
      </c>
      <c r="I3" s="272" t="s">
        <v>202</v>
      </c>
      <c r="K3" s="89" t="s">
        <v>100</v>
      </c>
      <c r="L3" s="1"/>
      <c r="M3" s="778" t="s">
        <v>192</v>
      </c>
      <c r="N3" s="779"/>
      <c r="O3" s="780"/>
    </row>
    <row r="4" spans="1:20" ht="20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Q4" s="13" t="s">
        <v>48</v>
      </c>
    </row>
    <row r="5" spans="1:20" ht="62.5" x14ac:dyDescent="0.35">
      <c r="A5" s="10" t="s">
        <v>98</v>
      </c>
      <c r="B5" s="10" t="s">
        <v>0</v>
      </c>
      <c r="C5" s="10" t="s">
        <v>17</v>
      </c>
      <c r="D5" s="10" t="s">
        <v>1</v>
      </c>
      <c r="E5" s="10" t="s">
        <v>2</v>
      </c>
      <c r="F5" s="12" t="s">
        <v>3</v>
      </c>
      <c r="G5" s="13" t="s">
        <v>4</v>
      </c>
      <c r="H5" s="13" t="s">
        <v>5</v>
      </c>
      <c r="I5" s="93" t="s">
        <v>16</v>
      </c>
      <c r="J5" s="243" t="s">
        <v>15</v>
      </c>
      <c r="K5" s="243" t="s">
        <v>66</v>
      </c>
      <c r="L5" s="867" t="s">
        <v>143</v>
      </c>
      <c r="M5" s="868"/>
      <c r="N5" s="93" t="s">
        <v>144</v>
      </c>
      <c r="O5" s="10" t="s">
        <v>8</v>
      </c>
      <c r="P5" s="10" t="s">
        <v>137</v>
      </c>
      <c r="Q5" s="53"/>
    </row>
    <row r="6" spans="1:20" ht="56.9" customHeight="1" thickBot="1" x14ac:dyDescent="0.6">
      <c r="A6" s="237">
        <v>1</v>
      </c>
      <c r="B6" s="237">
        <v>5</v>
      </c>
      <c r="C6" s="237">
        <v>0.8</v>
      </c>
      <c r="D6" s="240"/>
      <c r="E6" s="240">
        <f>D6+B6</f>
        <v>5</v>
      </c>
      <c r="F6" s="241">
        <v>-8</v>
      </c>
      <c r="G6" s="246">
        <v>5000</v>
      </c>
      <c r="H6" s="237"/>
      <c r="I6" s="238" t="s">
        <v>193</v>
      </c>
      <c r="J6" s="235" t="s">
        <v>127</v>
      </c>
      <c r="K6" s="235" t="s">
        <v>64</v>
      </c>
      <c r="L6" s="235">
        <v>45.847999999999999</v>
      </c>
      <c r="M6" s="174">
        <v>45.848999999999997</v>
      </c>
      <c r="N6" s="174">
        <v>46.688000000000002</v>
      </c>
      <c r="O6" s="237">
        <f t="shared" ref="O6:O22" si="0">(N6-M6)*1000</f>
        <v>839.00000000000568</v>
      </c>
      <c r="P6" s="237" t="s">
        <v>140</v>
      </c>
      <c r="Q6" s="171"/>
      <c r="T6" s="251">
        <f>SUM(O6:O11,O14:O18,O21:O22)</f>
        <v>10947.500000000007</v>
      </c>
    </row>
    <row r="7" spans="1:20" ht="56.9" customHeight="1" thickBot="1" x14ac:dyDescent="0.4">
      <c r="A7" s="237">
        <v>2</v>
      </c>
      <c r="B7" s="237">
        <v>5</v>
      </c>
      <c r="C7" s="237">
        <v>0.8</v>
      </c>
      <c r="D7" s="240">
        <f t="shared" ref="D7:D12" si="1">(F7-F6)/C7/60</f>
        <v>10.416666666666666</v>
      </c>
      <c r="E7" s="240">
        <f>E6+B7+D7</f>
        <v>20.416666666666664</v>
      </c>
      <c r="F7" s="144">
        <f>G6-G7+F6</f>
        <v>492</v>
      </c>
      <c r="G7" s="237">
        <v>4500</v>
      </c>
      <c r="H7" s="237"/>
      <c r="I7" s="237" t="s">
        <v>59</v>
      </c>
      <c r="J7" s="237" t="s">
        <v>128</v>
      </c>
      <c r="K7" s="237" t="s">
        <v>64</v>
      </c>
      <c r="L7" s="237">
        <v>29.783999999999999</v>
      </c>
      <c r="M7" s="177">
        <v>29.786999999999999</v>
      </c>
      <c r="N7" s="177">
        <v>30.661999999999999</v>
      </c>
      <c r="O7" s="254">
        <f t="shared" si="0"/>
        <v>875</v>
      </c>
      <c r="P7" s="237" t="s">
        <v>140</v>
      </c>
      <c r="Q7" s="172" t="s">
        <v>195</v>
      </c>
    </row>
    <row r="8" spans="1:20" ht="58.5" customHeight="1" thickBot="1" x14ac:dyDescent="0.4">
      <c r="A8" s="237">
        <v>3</v>
      </c>
      <c r="B8" s="237">
        <v>5</v>
      </c>
      <c r="C8" s="237">
        <f>C7</f>
        <v>0.8</v>
      </c>
      <c r="D8" s="240">
        <f t="shared" si="1"/>
        <v>10.416666666666666</v>
      </c>
      <c r="E8" s="240">
        <f>E7+B8+D8</f>
        <v>35.833333333333329</v>
      </c>
      <c r="F8" s="144">
        <f>G7-G8+F7</f>
        <v>992</v>
      </c>
      <c r="G8" s="237">
        <v>4000</v>
      </c>
      <c r="H8" s="237"/>
      <c r="I8" s="248" t="s">
        <v>194</v>
      </c>
      <c r="J8" s="237" t="s">
        <v>132</v>
      </c>
      <c r="K8" s="237" t="s">
        <v>64</v>
      </c>
      <c r="L8" s="237">
        <v>93.54</v>
      </c>
      <c r="M8" s="177">
        <v>93.542000000000002</v>
      </c>
      <c r="N8" s="177">
        <v>94.456000000000003</v>
      </c>
      <c r="O8" s="254">
        <f t="shared" si="0"/>
        <v>914.00000000000148</v>
      </c>
      <c r="P8" s="237" t="s">
        <v>140</v>
      </c>
      <c r="Q8" s="172"/>
    </row>
    <row r="9" spans="1:20" ht="57.75" customHeight="1" thickBot="1" x14ac:dyDescent="0.4">
      <c r="A9" s="237">
        <v>4</v>
      </c>
      <c r="B9" s="237">
        <v>5</v>
      </c>
      <c r="C9" s="237">
        <f>$C$6</f>
        <v>0.8</v>
      </c>
      <c r="D9" s="240">
        <f t="shared" si="1"/>
        <v>10.416666666666666</v>
      </c>
      <c r="E9" s="240">
        <f>E8+B9+D9</f>
        <v>51.249999999999993</v>
      </c>
      <c r="F9" s="144">
        <f>G8-G9+F8</f>
        <v>1492</v>
      </c>
      <c r="G9" s="237">
        <v>3500</v>
      </c>
      <c r="H9" s="237"/>
      <c r="I9" s="237" t="s">
        <v>60</v>
      </c>
      <c r="J9" s="237" t="s">
        <v>129</v>
      </c>
      <c r="K9" s="237" t="s">
        <v>64</v>
      </c>
      <c r="L9" s="237">
        <v>48.094999999999999</v>
      </c>
      <c r="M9" s="177">
        <v>48.097999999999999</v>
      </c>
      <c r="N9" s="177">
        <v>48.881</v>
      </c>
      <c r="O9" s="254">
        <f t="shared" si="0"/>
        <v>783.00000000000125</v>
      </c>
      <c r="P9" s="237" t="s">
        <v>140</v>
      </c>
      <c r="Q9" s="172"/>
    </row>
    <row r="10" spans="1:20" ht="58.5" customHeight="1" thickBot="1" x14ac:dyDescent="0.4">
      <c r="A10" s="237">
        <v>5</v>
      </c>
      <c r="B10" s="237">
        <v>5</v>
      </c>
      <c r="C10" s="237">
        <v>0.8</v>
      </c>
      <c r="D10" s="240">
        <f t="shared" si="1"/>
        <v>10.416666666666666</v>
      </c>
      <c r="E10" s="240">
        <f>E9+B10+D10</f>
        <v>66.666666666666657</v>
      </c>
      <c r="F10" s="144">
        <f t="shared" ref="F10:F12" si="2">G9-G10+F9</f>
        <v>1992</v>
      </c>
      <c r="G10" s="237">
        <v>3000</v>
      </c>
      <c r="H10" s="237"/>
      <c r="I10" s="237" t="s">
        <v>119</v>
      </c>
      <c r="J10" s="237" t="s">
        <v>134</v>
      </c>
      <c r="K10" s="237" t="s">
        <v>64</v>
      </c>
      <c r="L10" s="237">
        <v>75.98</v>
      </c>
      <c r="M10" s="177">
        <v>75.984999999999999</v>
      </c>
      <c r="N10" s="177">
        <v>76.72</v>
      </c>
      <c r="O10" s="254">
        <f t="shared" si="0"/>
        <v>734.99999999999943</v>
      </c>
      <c r="P10" s="237" t="s">
        <v>140</v>
      </c>
      <c r="Q10" s="172"/>
    </row>
    <row r="11" spans="1:20" ht="57.75" customHeight="1" thickBot="1" x14ac:dyDescent="0.4">
      <c r="A11" s="237">
        <v>6</v>
      </c>
      <c r="B11" s="237">
        <v>5</v>
      </c>
      <c r="C11" s="237">
        <v>0.8</v>
      </c>
      <c r="D11" s="240">
        <f t="shared" si="1"/>
        <v>16.666666666666668</v>
      </c>
      <c r="E11" s="240">
        <f>E10+B11+D11</f>
        <v>88.333333333333329</v>
      </c>
      <c r="F11" s="144">
        <f t="shared" si="2"/>
        <v>2792</v>
      </c>
      <c r="G11" s="237">
        <v>2200</v>
      </c>
      <c r="H11" s="237"/>
      <c r="I11" s="237" t="s">
        <v>121</v>
      </c>
      <c r="J11" s="237" t="s">
        <v>135</v>
      </c>
      <c r="K11" s="237" t="s">
        <v>64</v>
      </c>
      <c r="L11" s="237">
        <v>3.4296000000000002</v>
      </c>
      <c r="M11" s="177">
        <v>3.4317000000000002</v>
      </c>
      <c r="N11" s="177">
        <v>4.1824000000000003</v>
      </c>
      <c r="O11" s="254">
        <f t="shared" si="0"/>
        <v>750.70000000000016</v>
      </c>
      <c r="P11" s="237" t="s">
        <v>140</v>
      </c>
      <c r="Q11" s="172"/>
    </row>
    <row r="12" spans="1:20" ht="39" customHeight="1" x14ac:dyDescent="0.35">
      <c r="A12" s="806">
        <v>7</v>
      </c>
      <c r="B12" s="806">
        <v>5</v>
      </c>
      <c r="C12" s="806">
        <v>0.8</v>
      </c>
      <c r="D12" s="807">
        <f t="shared" si="1"/>
        <v>13.125</v>
      </c>
      <c r="E12" s="865">
        <f>E11+D12+B12</f>
        <v>106.45833333333333</v>
      </c>
      <c r="F12" s="858">
        <f t="shared" si="2"/>
        <v>3422</v>
      </c>
      <c r="G12" s="861">
        <v>1570</v>
      </c>
      <c r="H12" s="806"/>
      <c r="I12" s="742" t="s">
        <v>157</v>
      </c>
      <c r="J12" s="233" t="s">
        <v>159</v>
      </c>
      <c r="K12" s="175" t="s">
        <v>64</v>
      </c>
      <c r="L12" s="233">
        <f>'SWG-11-030-P'!N13</f>
        <v>3.1570999999999998</v>
      </c>
      <c r="M12" s="175">
        <v>3.1585000000000001</v>
      </c>
      <c r="N12" s="175">
        <v>3.8915000000000002</v>
      </c>
      <c r="O12" s="255">
        <f t="shared" si="0"/>
        <v>733.00000000000011</v>
      </c>
      <c r="P12" s="806"/>
      <c r="Q12" s="864" t="s">
        <v>189</v>
      </c>
    </row>
    <row r="13" spans="1:20" ht="45" customHeight="1" x14ac:dyDescent="0.35">
      <c r="A13" s="742"/>
      <c r="B13" s="742"/>
      <c r="C13" s="742"/>
      <c r="D13" s="789"/>
      <c r="E13" s="789"/>
      <c r="F13" s="791"/>
      <c r="G13" s="862"/>
      <c r="H13" s="742"/>
      <c r="I13" s="742"/>
      <c r="J13" s="234" t="s">
        <v>160</v>
      </c>
      <c r="K13" s="176" t="s">
        <v>183</v>
      </c>
      <c r="L13" s="233">
        <f>'SWG-11-030-P'!N14</f>
        <v>3.8940999999999999</v>
      </c>
      <c r="M13" s="176">
        <v>3.8946000000000001</v>
      </c>
      <c r="N13" s="176">
        <v>4.3737000000000004</v>
      </c>
      <c r="O13" s="256">
        <f t="shared" si="0"/>
        <v>479.10000000000031</v>
      </c>
      <c r="P13" s="742"/>
      <c r="Q13" s="859"/>
    </row>
    <row r="14" spans="1:20" ht="41.15" customHeight="1" thickBot="1" x14ac:dyDescent="0.4">
      <c r="A14" s="743"/>
      <c r="B14" s="743"/>
      <c r="C14" s="743"/>
      <c r="D14" s="790"/>
      <c r="E14" s="866"/>
      <c r="F14" s="792"/>
      <c r="G14" s="863"/>
      <c r="H14" s="743"/>
      <c r="I14" s="743"/>
      <c r="J14" s="235" t="s">
        <v>179</v>
      </c>
      <c r="K14" s="235"/>
      <c r="L14" s="233">
        <f>'SWG-11-030-P'!N15</f>
        <v>6.8193000000000001</v>
      </c>
      <c r="M14" s="174">
        <v>6.8212999999999999</v>
      </c>
      <c r="N14" s="174">
        <v>8.0268999999999995</v>
      </c>
      <c r="O14" s="254">
        <f t="shared" si="0"/>
        <v>1205.5999999999995</v>
      </c>
      <c r="P14" s="743"/>
      <c r="Q14" s="860"/>
    </row>
    <row r="15" spans="1:20" ht="52.5" customHeight="1" thickBot="1" x14ac:dyDescent="0.4">
      <c r="A15" s="237">
        <v>8</v>
      </c>
      <c r="B15" s="237">
        <v>5</v>
      </c>
      <c r="C15" s="237">
        <v>0.8</v>
      </c>
      <c r="D15" s="240">
        <f>(F15-F12)/C15/60</f>
        <v>0.41666666666666669</v>
      </c>
      <c r="E15" s="240">
        <f>E12+B15+D15</f>
        <v>111.875</v>
      </c>
      <c r="F15" s="144">
        <f>G12-G15+F12</f>
        <v>3442</v>
      </c>
      <c r="G15" s="237">
        <v>1550</v>
      </c>
      <c r="H15" s="237"/>
      <c r="I15" s="238" t="s">
        <v>171</v>
      </c>
      <c r="J15" s="237" t="s">
        <v>133</v>
      </c>
      <c r="K15" s="237" t="s">
        <v>64</v>
      </c>
      <c r="L15" s="237">
        <f>'SWG-11-030-P'!N18</f>
        <v>73.674999999999997</v>
      </c>
      <c r="M15" s="177">
        <v>73.677999999999997</v>
      </c>
      <c r="N15" s="177">
        <v>74.44</v>
      </c>
      <c r="O15" s="254">
        <f t="shared" si="0"/>
        <v>762.00000000000045</v>
      </c>
      <c r="P15" s="237" t="s">
        <v>140</v>
      </c>
      <c r="Q15" s="172"/>
    </row>
    <row r="16" spans="1:20" ht="59.15" customHeight="1" thickBot="1" x14ac:dyDescent="0.4">
      <c r="A16" s="237">
        <v>9</v>
      </c>
      <c r="B16" s="237">
        <v>5</v>
      </c>
      <c r="C16" s="237">
        <v>0.8</v>
      </c>
      <c r="D16" s="240">
        <f>(F16-F15)/C16/60</f>
        <v>11.458333333333334</v>
      </c>
      <c r="E16" s="240">
        <f>E15+B16+D16</f>
        <v>128.33333333333334</v>
      </c>
      <c r="F16" s="144">
        <f>G15-G16+F15</f>
        <v>3992</v>
      </c>
      <c r="G16" s="237">
        <v>1000</v>
      </c>
      <c r="H16" s="237"/>
      <c r="I16" s="237" t="s">
        <v>57</v>
      </c>
      <c r="J16" s="237" t="s">
        <v>126</v>
      </c>
      <c r="K16" s="237" t="s">
        <v>64</v>
      </c>
      <c r="L16" s="237">
        <f>'SWG-11-030-P'!N12</f>
        <v>24.481999999999999</v>
      </c>
      <c r="M16" s="177">
        <v>24.495999999999999</v>
      </c>
      <c r="N16" s="177">
        <v>25.407</v>
      </c>
      <c r="O16" s="254">
        <f t="shared" si="0"/>
        <v>911.00000000000136</v>
      </c>
      <c r="P16" s="237" t="s">
        <v>140</v>
      </c>
      <c r="Q16" s="172"/>
    </row>
    <row r="17" spans="1:19" ht="52.5" customHeight="1" thickBot="1" x14ac:dyDescent="0.4">
      <c r="A17" s="236">
        <v>10</v>
      </c>
      <c r="B17" s="236">
        <v>5</v>
      </c>
      <c r="C17" s="236">
        <v>0.8</v>
      </c>
      <c r="D17" s="240">
        <f>(F17-F16)/C17/60</f>
        <v>4.166666666666667</v>
      </c>
      <c r="E17" s="240">
        <f>E16+B17+D17</f>
        <v>137.5</v>
      </c>
      <c r="F17" s="144">
        <f>G16-G17+F16</f>
        <v>4192</v>
      </c>
      <c r="G17" s="237">
        <v>800</v>
      </c>
      <c r="H17" s="237"/>
      <c r="I17" s="237" t="s">
        <v>58</v>
      </c>
      <c r="J17" s="237" t="s">
        <v>149</v>
      </c>
      <c r="K17" s="237" t="s">
        <v>183</v>
      </c>
      <c r="L17" s="237">
        <f>'SWG-11-030-P'!N6</f>
        <v>11.074</v>
      </c>
      <c r="M17" s="177">
        <v>11.074</v>
      </c>
      <c r="N17" s="177">
        <v>11.936</v>
      </c>
      <c r="O17" s="254">
        <f t="shared" si="0"/>
        <v>862.00000000000011</v>
      </c>
      <c r="P17" s="237"/>
      <c r="Q17" s="172"/>
    </row>
    <row r="18" spans="1:19" ht="57" customHeight="1" thickBot="1" x14ac:dyDescent="0.4">
      <c r="A18" s="234">
        <v>11</v>
      </c>
      <c r="B18" s="234">
        <v>5</v>
      </c>
      <c r="C18" s="234">
        <v>0.8</v>
      </c>
      <c r="D18" s="240">
        <f>(F18-F17)/C18/60</f>
        <v>11.458333333333334</v>
      </c>
      <c r="E18" s="240">
        <f>E17+B18+D18</f>
        <v>153.95833333333334</v>
      </c>
      <c r="F18" s="249">
        <f>G17-G18+F17</f>
        <v>4742</v>
      </c>
      <c r="G18" s="237">
        <v>250</v>
      </c>
      <c r="H18" s="237"/>
      <c r="I18" s="237" t="s">
        <v>122</v>
      </c>
      <c r="J18" s="237" t="s">
        <v>130</v>
      </c>
      <c r="K18" s="237" t="s">
        <v>64</v>
      </c>
      <c r="L18" s="237">
        <f>'SWG-11-030-P'!N8</f>
        <v>6.3940000000000001</v>
      </c>
      <c r="M18" s="177">
        <v>6.3970000000000002</v>
      </c>
      <c r="N18" s="177">
        <v>7.51</v>
      </c>
      <c r="O18" s="254">
        <f t="shared" si="0"/>
        <v>1112.9999999999995</v>
      </c>
      <c r="P18" s="237" t="s">
        <v>140</v>
      </c>
      <c r="Q18" s="172"/>
    </row>
    <row r="19" spans="1:19" ht="41.9" customHeight="1" x14ac:dyDescent="0.35">
      <c r="A19" s="793">
        <v>12</v>
      </c>
      <c r="B19" s="793">
        <v>5</v>
      </c>
      <c r="C19" s="793">
        <v>0.8</v>
      </c>
      <c r="D19" s="852">
        <f>(F19-F18)/C19/60</f>
        <v>4.166666666666667</v>
      </c>
      <c r="E19" s="865">
        <f>E18+D19+B19</f>
        <v>163.125</v>
      </c>
      <c r="F19" s="858">
        <f>G18-G19+F18</f>
        <v>4942</v>
      </c>
      <c r="G19" s="742">
        <v>50</v>
      </c>
      <c r="H19" s="742"/>
      <c r="I19" s="759" t="s">
        <v>188</v>
      </c>
      <c r="J19" s="233" t="s">
        <v>158</v>
      </c>
      <c r="K19" s="175" t="s">
        <v>64</v>
      </c>
      <c r="L19" s="233">
        <v>2.4165000000000001</v>
      </c>
      <c r="M19" s="175">
        <v>2.4117099999999998</v>
      </c>
      <c r="N19" s="175">
        <v>2.8028</v>
      </c>
      <c r="O19" s="255">
        <f t="shared" si="0"/>
        <v>391.09000000000015</v>
      </c>
      <c r="P19" s="742"/>
      <c r="Q19" s="859" t="s">
        <v>198</v>
      </c>
    </row>
    <row r="20" spans="1:19" ht="56.9" customHeight="1" x14ac:dyDescent="0.35">
      <c r="A20" s="742"/>
      <c r="B20" s="742"/>
      <c r="C20" s="742"/>
      <c r="D20" s="852"/>
      <c r="E20" s="789"/>
      <c r="F20" s="791"/>
      <c r="G20" s="742"/>
      <c r="H20" s="742"/>
      <c r="I20" s="760"/>
      <c r="J20" s="234" t="s">
        <v>76</v>
      </c>
      <c r="K20" s="176" t="s">
        <v>183</v>
      </c>
      <c r="L20" s="233">
        <f>'SWG-11-030-P'!N20</f>
        <v>3.5093000000000001</v>
      </c>
      <c r="M20" s="176">
        <v>3.5104000000000002</v>
      </c>
      <c r="N20" s="176">
        <v>3.9220000000000002</v>
      </c>
      <c r="O20" s="256">
        <f t="shared" si="0"/>
        <v>411.59999999999997</v>
      </c>
      <c r="P20" s="742"/>
      <c r="Q20" s="859"/>
    </row>
    <row r="21" spans="1:19" ht="42" customHeight="1" thickBot="1" x14ac:dyDescent="0.4">
      <c r="A21" s="739"/>
      <c r="B21" s="739"/>
      <c r="C21" s="739"/>
      <c r="D21" s="852"/>
      <c r="E21" s="866"/>
      <c r="F21" s="791"/>
      <c r="G21" s="743"/>
      <c r="H21" s="743"/>
      <c r="I21" s="761"/>
      <c r="J21" s="235" t="s">
        <v>179</v>
      </c>
      <c r="K21" s="235"/>
      <c r="L21" s="233">
        <f>'SWG-11-030-P'!N21</f>
        <v>5.7702999999999998</v>
      </c>
      <c r="M21" s="174">
        <v>5.7713000000000001</v>
      </c>
      <c r="N21" s="174">
        <v>6.5705</v>
      </c>
      <c r="O21" s="254">
        <f t="shared" si="0"/>
        <v>799.19999999999993</v>
      </c>
      <c r="P21" s="743"/>
      <c r="Q21" s="860"/>
    </row>
    <row r="22" spans="1:19" ht="47.15" customHeight="1" thickBot="1" x14ac:dyDescent="0.4">
      <c r="A22" s="234">
        <v>13</v>
      </c>
      <c r="B22" s="234">
        <v>5</v>
      </c>
      <c r="C22" s="234">
        <v>0.8</v>
      </c>
      <c r="D22" s="244">
        <f>(F22-F19)/C22/60</f>
        <v>0.41666666666666669</v>
      </c>
      <c r="E22" s="240">
        <f>E19+B22+D22</f>
        <v>168.54166666666666</v>
      </c>
      <c r="F22" s="165">
        <f>G19-G22+F19</f>
        <v>4962</v>
      </c>
      <c r="G22" s="247">
        <v>30</v>
      </c>
      <c r="H22" s="247"/>
      <c r="I22" s="250" t="s">
        <v>190</v>
      </c>
      <c r="J22" s="247" t="s">
        <v>131</v>
      </c>
      <c r="K22" s="247" t="s">
        <v>64</v>
      </c>
      <c r="L22" s="247">
        <f>'SWG-11-030-P'!N7</f>
        <v>67.727000000000004</v>
      </c>
      <c r="M22" s="178">
        <v>67.733000000000004</v>
      </c>
      <c r="N22" s="178">
        <v>68.131</v>
      </c>
      <c r="O22" s="254">
        <f t="shared" si="0"/>
        <v>397.99999999999613</v>
      </c>
      <c r="P22" s="247" t="s">
        <v>140</v>
      </c>
      <c r="Q22" s="173"/>
    </row>
    <row r="23" spans="1:19" ht="40.5" thickBot="1" x14ac:dyDescent="0.6">
      <c r="A23" s="24" t="s">
        <v>10</v>
      </c>
      <c r="B23" s="233">
        <f>SUM(B6:B22)</f>
        <v>65</v>
      </c>
      <c r="C23" s="233"/>
      <c r="D23" s="245">
        <f>SUM(D6:D22)</f>
        <v>103.54166666666667</v>
      </c>
      <c r="E23" s="245"/>
      <c r="F23" s="144">
        <f>G6</f>
        <v>5000</v>
      </c>
      <c r="G23" s="827" t="s">
        <v>18</v>
      </c>
      <c r="H23" s="856"/>
      <c r="I23" s="856"/>
      <c r="J23" s="9"/>
      <c r="K23" s="145" t="s">
        <v>103</v>
      </c>
      <c r="L23" s="251" t="s">
        <v>102</v>
      </c>
      <c r="M23" s="251"/>
      <c r="N23" s="252" t="s">
        <v>53</v>
      </c>
    </row>
    <row r="24" spans="1:19" ht="46" x14ac:dyDescent="0.35">
      <c r="A24" s="26" t="s">
        <v>12</v>
      </c>
      <c r="B24" s="234">
        <f>B23/60</f>
        <v>1.0833333333333333</v>
      </c>
      <c r="C24" s="234"/>
      <c r="D24" s="244" t="s">
        <v>14</v>
      </c>
      <c r="E24" s="244"/>
      <c r="F24" s="253"/>
      <c r="J24" s="95" t="s">
        <v>145</v>
      </c>
      <c r="K24" s="30">
        <v>44222</v>
      </c>
      <c r="L24" s="762">
        <v>0.99305555555555547</v>
      </c>
      <c r="M24" s="763"/>
      <c r="N24" s="242">
        <v>0.86805555555555547</v>
      </c>
      <c r="S24">
        <v>1</v>
      </c>
    </row>
    <row r="25" spans="1:19" ht="46" x14ac:dyDescent="0.35">
      <c r="J25" s="96" t="s">
        <v>45</v>
      </c>
      <c r="K25" s="30">
        <v>44222</v>
      </c>
      <c r="L25" s="762">
        <v>0.13194444444444445</v>
      </c>
      <c r="M25" s="763"/>
      <c r="N25" s="239">
        <v>6.9444444444444441E-3</v>
      </c>
      <c r="P25" s="257"/>
    </row>
    <row r="26" spans="1:19" ht="46" x14ac:dyDescent="0.35">
      <c r="A26" s="1"/>
      <c r="B26" s="1"/>
      <c r="C26" s="1"/>
      <c r="D26" s="1"/>
      <c r="E26" s="1"/>
      <c r="F26" s="1"/>
      <c r="G26" s="1"/>
      <c r="J26" s="96" t="s">
        <v>46</v>
      </c>
      <c r="K26" s="30">
        <v>44222</v>
      </c>
      <c r="L26" s="762">
        <v>0.25694444444444448</v>
      </c>
      <c r="M26" s="766"/>
      <c r="N26" s="239">
        <v>0.13194444444444445</v>
      </c>
    </row>
    <row r="27" spans="1:19" ht="46" x14ac:dyDescent="0.35">
      <c r="A27" s="857" t="s">
        <v>52</v>
      </c>
      <c r="B27" s="857"/>
      <c r="C27" s="857"/>
      <c r="D27" s="857"/>
      <c r="E27" s="857"/>
      <c r="F27" s="857"/>
      <c r="J27" s="96" t="s">
        <v>47</v>
      </c>
      <c r="K27" s="30">
        <v>44222</v>
      </c>
      <c r="L27" s="762">
        <v>0.34722222222222227</v>
      </c>
      <c r="M27" s="766"/>
      <c r="N27" s="239">
        <v>0.22222222222222221</v>
      </c>
    </row>
    <row r="28" spans="1:19" ht="20" x14ac:dyDescent="0.4">
      <c r="A28" s="17" t="s">
        <v>51</v>
      </c>
      <c r="B28" s="17"/>
      <c r="C28" s="17"/>
      <c r="F28" s="9">
        <v>8</v>
      </c>
      <c r="G28" s="20" t="s">
        <v>11</v>
      </c>
      <c r="J28" s="17"/>
      <c r="K28" s="19"/>
    </row>
    <row r="29" spans="1:19" ht="60" x14ac:dyDescent="0.6">
      <c r="A29" s="120" t="s">
        <v>168</v>
      </c>
      <c r="F29" s="145"/>
      <c r="G29" s="17" t="s">
        <v>169</v>
      </c>
      <c r="J29" s="10" t="s">
        <v>50</v>
      </c>
      <c r="K29" s="31">
        <f>E22+F29</f>
        <v>168.54166666666666</v>
      </c>
    </row>
    <row r="30" spans="1:19" ht="40" x14ac:dyDescent="0.7">
      <c r="A30" s="146"/>
      <c r="F30" s="17"/>
      <c r="G30" s="17"/>
      <c r="H30" s="17"/>
      <c r="I30" s="15"/>
      <c r="J30" s="10" t="s">
        <v>49</v>
      </c>
      <c r="K30" s="31">
        <f>D23+5*A22+F29</f>
        <v>168.54166666666669</v>
      </c>
    </row>
    <row r="31" spans="1:19" ht="29.5" x14ac:dyDescent="0.55000000000000004">
      <c r="A31" s="147"/>
      <c r="B31" s="20"/>
      <c r="C31" s="17"/>
      <c r="I31" s="9"/>
      <c r="J31" s="1"/>
      <c r="K31" s="1"/>
      <c r="L31" s="1"/>
      <c r="M31" s="2"/>
    </row>
    <row r="32" spans="1:19" ht="20" x14ac:dyDescent="0.4">
      <c r="C32" s="17"/>
      <c r="D32" s="17"/>
      <c r="E32" s="17" t="s">
        <v>14</v>
      </c>
      <c r="F32" s="17"/>
      <c r="I32" s="15"/>
      <c r="J32" s="1"/>
      <c r="K32" s="1"/>
      <c r="L32" s="1"/>
      <c r="M32" s="2"/>
    </row>
    <row r="33" spans="1:15" ht="20" x14ac:dyDescent="0.4">
      <c r="A33" s="19"/>
      <c r="B33" s="20"/>
      <c r="C33" s="17"/>
      <c r="D33" s="17"/>
      <c r="E33" s="23"/>
      <c r="F33" s="17"/>
      <c r="G33" s="17"/>
      <c r="H33" s="17"/>
      <c r="I33" s="15"/>
      <c r="J33" s="1"/>
      <c r="K33" s="1"/>
      <c r="L33" s="1"/>
      <c r="M33" s="2"/>
      <c r="N33" s="2"/>
      <c r="O33" s="2"/>
    </row>
    <row r="34" spans="1:15" ht="20" x14ac:dyDescent="0.4">
      <c r="A34" s="19"/>
      <c r="B34" s="20"/>
      <c r="C34" s="17"/>
      <c r="D34" s="17"/>
      <c r="E34" s="17"/>
      <c r="F34" s="17"/>
      <c r="G34" s="17"/>
      <c r="H34" s="17"/>
      <c r="I34" s="15"/>
      <c r="J34" s="1"/>
      <c r="K34" s="1"/>
      <c r="L34" s="1"/>
      <c r="M34" s="2"/>
    </row>
    <row r="35" spans="1:15" ht="18.5" x14ac:dyDescent="0.45">
      <c r="A35" s="16"/>
      <c r="B35" s="16"/>
      <c r="C35" s="16"/>
      <c r="D35" s="16"/>
      <c r="E35" s="16"/>
      <c r="F35" s="16"/>
      <c r="G35" s="16"/>
      <c r="H35" s="16"/>
      <c r="I35" s="16"/>
    </row>
  </sheetData>
  <mergeCells count="30">
    <mergeCell ref="M3:O3"/>
    <mergeCell ref="L5:M5"/>
    <mergeCell ref="A12:A14"/>
    <mergeCell ref="B12:B14"/>
    <mergeCell ref="C12:C14"/>
    <mergeCell ref="D12:D14"/>
    <mergeCell ref="E12:E14"/>
    <mergeCell ref="F12:F14"/>
    <mergeCell ref="A19:A21"/>
    <mergeCell ref="B19:B21"/>
    <mergeCell ref="C19:C21"/>
    <mergeCell ref="D19:D21"/>
    <mergeCell ref="E19:E21"/>
    <mergeCell ref="Q19:Q21"/>
    <mergeCell ref="G12:G14"/>
    <mergeCell ref="H12:H14"/>
    <mergeCell ref="I19:I21"/>
    <mergeCell ref="P12:P14"/>
    <mergeCell ref="Q12:Q14"/>
    <mergeCell ref="F19:F21"/>
    <mergeCell ref="G19:G21"/>
    <mergeCell ref="H19:H21"/>
    <mergeCell ref="I12:I14"/>
    <mergeCell ref="P19:P21"/>
    <mergeCell ref="G23:I23"/>
    <mergeCell ref="L24:M24"/>
    <mergeCell ref="L25:M25"/>
    <mergeCell ref="L26:M26"/>
    <mergeCell ref="A27:F27"/>
    <mergeCell ref="L27:M27"/>
  </mergeCells>
  <pageMargins left="0.7" right="0.7" top="0.75" bottom="0.75" header="0.3" footer="0.3"/>
  <pageSetup paperSize="9" scale="3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topLeftCell="A9" zoomScale="40" zoomScaleNormal="40" workbookViewId="0">
      <selection activeCell="AB5" sqref="AB5"/>
    </sheetView>
  </sheetViews>
  <sheetFormatPr defaultColWidth="11.453125" defaultRowHeight="14.5" x14ac:dyDescent="0.35"/>
  <cols>
    <col min="1" max="1" width="12.08984375" customWidth="1"/>
    <col min="2" max="2" width="13" customWidth="1"/>
    <col min="3" max="3" width="15.453125" customWidth="1"/>
    <col min="4" max="5" width="14.453125" customWidth="1"/>
    <col min="6" max="6" width="19.90625" customWidth="1"/>
    <col min="7" max="7" width="13.453125" customWidth="1"/>
    <col min="8" max="8" width="13.90625" customWidth="1"/>
    <col min="9" max="9" width="14" customWidth="1"/>
    <col min="10" max="10" width="21.08984375" customWidth="1"/>
    <col min="11" max="11" width="19.453125" bestFit="1" customWidth="1"/>
    <col min="12" max="12" width="18" customWidth="1"/>
    <col min="13" max="13" width="20.90625" customWidth="1"/>
    <col min="14" max="14" width="25.453125" customWidth="1"/>
    <col min="15" max="15" width="19" customWidth="1"/>
    <col min="16" max="24" width="9.08984375" customWidth="1"/>
    <col min="25" max="25" width="102.08984375" bestFit="1" customWidth="1"/>
    <col min="26" max="26" width="10.453125" customWidth="1"/>
    <col min="27" max="27" width="10.453125" bestFit="1" customWidth="1"/>
    <col min="28" max="28" width="34.453125" customWidth="1"/>
  </cols>
  <sheetData>
    <row r="1" spans="1:28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</row>
    <row r="2" spans="1:28" ht="41.25" customHeight="1" x14ac:dyDescent="0.65">
      <c r="A2" s="84" t="s">
        <v>36</v>
      </c>
      <c r="B2" s="83"/>
      <c r="C2" s="98" t="s">
        <v>206</v>
      </c>
      <c r="D2" s="83"/>
      <c r="H2" s="91" t="s">
        <v>96</v>
      </c>
      <c r="I2" s="193" t="s">
        <v>259</v>
      </c>
      <c r="K2" s="89" t="s">
        <v>99</v>
      </c>
      <c r="L2" s="1"/>
      <c r="M2" s="2"/>
      <c r="N2" s="2"/>
      <c r="O2" s="2"/>
    </row>
    <row r="3" spans="1:28" ht="30" x14ac:dyDescent="0.6">
      <c r="A3" s="119" t="s">
        <v>136</v>
      </c>
      <c r="B3" s="120"/>
      <c r="C3" s="121">
        <v>1385</v>
      </c>
      <c r="D3" s="122" t="s">
        <v>11</v>
      </c>
      <c r="E3" s="1"/>
      <c r="F3" s="1"/>
      <c r="G3" s="1"/>
      <c r="H3" s="92" t="s">
        <v>97</v>
      </c>
      <c r="I3" s="193" t="s">
        <v>260</v>
      </c>
      <c r="K3" s="89" t="s">
        <v>100</v>
      </c>
      <c r="L3" s="1"/>
      <c r="M3" s="869"/>
      <c r="N3" s="869"/>
      <c r="O3" s="869"/>
    </row>
    <row r="4" spans="1:28" ht="28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Q4" s="778" t="s">
        <v>38</v>
      </c>
      <c r="R4" s="779"/>
      <c r="S4" s="780"/>
      <c r="T4" s="781" t="s">
        <v>43</v>
      </c>
      <c r="U4" s="782"/>
      <c r="V4" s="782"/>
      <c r="W4" s="783"/>
      <c r="X4" s="264"/>
      <c r="Y4" s="13" t="s">
        <v>48</v>
      </c>
    </row>
    <row r="5" spans="1:28" ht="63" thickBot="1" x14ac:dyDescent="0.6">
      <c r="A5" s="10" t="s">
        <v>98</v>
      </c>
      <c r="B5" s="10" t="s">
        <v>0</v>
      </c>
      <c r="C5" s="10" t="s">
        <v>17</v>
      </c>
      <c r="D5" s="10" t="s">
        <v>1</v>
      </c>
      <c r="E5" s="11" t="s">
        <v>2</v>
      </c>
      <c r="F5" s="12" t="s">
        <v>3</v>
      </c>
      <c r="G5" s="13" t="s">
        <v>4</v>
      </c>
      <c r="H5" s="13" t="s">
        <v>5</v>
      </c>
      <c r="I5" s="93" t="s">
        <v>16</v>
      </c>
      <c r="J5" s="290" t="s">
        <v>15</v>
      </c>
      <c r="K5" s="290" t="s">
        <v>66</v>
      </c>
      <c r="L5" s="873" t="s">
        <v>143</v>
      </c>
      <c r="M5" s="874"/>
      <c r="N5" s="291" t="s">
        <v>144</v>
      </c>
      <c r="O5" s="292" t="s">
        <v>8</v>
      </c>
      <c r="P5" s="292" t="s">
        <v>137</v>
      </c>
      <c r="Q5" s="293" t="s">
        <v>42</v>
      </c>
      <c r="R5" s="293" t="s">
        <v>37</v>
      </c>
      <c r="S5" s="293" t="s">
        <v>44</v>
      </c>
      <c r="T5" s="294" t="s">
        <v>41</v>
      </c>
      <c r="U5" s="294" t="s">
        <v>39</v>
      </c>
      <c r="V5" s="294" t="s">
        <v>40</v>
      </c>
      <c r="W5" s="294" t="s">
        <v>42</v>
      </c>
      <c r="X5" s="294" t="s">
        <v>178</v>
      </c>
      <c r="Y5" s="295"/>
      <c r="AB5" s="724">
        <f>SUM(O8:O18,O21:O22)</f>
        <v>9019.4000000000106</v>
      </c>
    </row>
    <row r="6" spans="1:28" ht="46.5" customHeight="1" x14ac:dyDescent="0.35">
      <c r="A6" s="806">
        <v>1</v>
      </c>
      <c r="B6" s="806">
        <v>5</v>
      </c>
      <c r="C6" s="806">
        <f>$C$9</f>
        <v>0.6</v>
      </c>
      <c r="D6" s="807">
        <f>ABS(F6/C6/60)</f>
        <v>0.22222222222222224</v>
      </c>
      <c r="E6" s="807">
        <f>E9+B6+D6</f>
        <v>10.777777777777777</v>
      </c>
      <c r="F6" s="858">
        <v>-8</v>
      </c>
      <c r="G6" s="861">
        <v>1280</v>
      </c>
      <c r="H6" s="806"/>
      <c r="I6" s="870" t="s">
        <v>27</v>
      </c>
      <c r="J6" s="280" t="s">
        <v>204</v>
      </c>
      <c r="K6" s="296" t="s">
        <v>64</v>
      </c>
      <c r="L6" s="296">
        <v>3.8919999999999999</v>
      </c>
      <c r="M6" s="296"/>
      <c r="N6" s="297">
        <v>4.1070000000000002</v>
      </c>
      <c r="O6" s="275">
        <f>(N6-L6)*1000</f>
        <v>215.00000000000031</v>
      </c>
      <c r="P6" s="875"/>
      <c r="Q6" s="298"/>
      <c r="R6" s="298"/>
      <c r="S6" s="298"/>
      <c r="T6" s="298"/>
      <c r="U6" s="298" t="s">
        <v>54</v>
      </c>
      <c r="V6" s="298"/>
      <c r="W6" s="298" t="s">
        <v>54</v>
      </c>
      <c r="X6" s="298" t="s">
        <v>54</v>
      </c>
      <c r="Y6" s="878"/>
    </row>
    <row r="7" spans="1:28" ht="46.5" customHeight="1" x14ac:dyDescent="0.35">
      <c r="A7" s="742"/>
      <c r="B7" s="742"/>
      <c r="C7" s="742"/>
      <c r="D7" s="789"/>
      <c r="E7" s="789"/>
      <c r="F7" s="791"/>
      <c r="G7" s="862"/>
      <c r="H7" s="742"/>
      <c r="I7" s="871"/>
      <c r="J7" s="278" t="s">
        <v>151</v>
      </c>
      <c r="K7" s="176" t="s">
        <v>65</v>
      </c>
      <c r="L7" s="176">
        <v>4.3746</v>
      </c>
      <c r="M7" s="176">
        <v>4.375</v>
      </c>
      <c r="N7" s="287">
        <v>5.1452</v>
      </c>
      <c r="O7" s="305">
        <f>(N7-M7)*1000</f>
        <v>770.2</v>
      </c>
      <c r="P7" s="876"/>
      <c r="Q7" s="183"/>
      <c r="R7" s="183"/>
      <c r="S7" s="183"/>
      <c r="T7" s="183" t="s">
        <v>54</v>
      </c>
      <c r="U7" s="183"/>
      <c r="V7" s="183" t="s">
        <v>54</v>
      </c>
      <c r="W7" s="183"/>
      <c r="X7" s="183"/>
      <c r="Y7" s="859"/>
    </row>
    <row r="8" spans="1:28" ht="46.5" customHeight="1" thickBot="1" x14ac:dyDescent="0.4">
      <c r="A8" s="743"/>
      <c r="B8" s="743"/>
      <c r="C8" s="743"/>
      <c r="D8" s="790"/>
      <c r="E8" s="790"/>
      <c r="F8" s="792"/>
      <c r="G8" s="863"/>
      <c r="H8" s="743"/>
      <c r="I8" s="872"/>
      <c r="J8" s="279" t="s">
        <v>179</v>
      </c>
      <c r="K8" s="279"/>
      <c r="L8" s="174">
        <v>8.0272000000000006</v>
      </c>
      <c r="M8" s="174">
        <v>8.0276999999999994</v>
      </c>
      <c r="N8" s="299">
        <v>9.0059000000000005</v>
      </c>
      <c r="O8" s="306">
        <f>(N8-M8)*1000</f>
        <v>978.20000000000107</v>
      </c>
      <c r="P8" s="877"/>
      <c r="Q8" s="180"/>
      <c r="R8" s="180"/>
      <c r="S8" s="180"/>
      <c r="T8" s="180"/>
      <c r="U8" s="180"/>
      <c r="V8" s="180"/>
      <c r="W8" s="180"/>
      <c r="X8" s="180"/>
      <c r="Y8" s="860"/>
    </row>
    <row r="9" spans="1:28" ht="46.5" customHeight="1" thickBot="1" x14ac:dyDescent="0.4">
      <c r="A9" s="260">
        <v>2</v>
      </c>
      <c r="B9" s="260">
        <v>5</v>
      </c>
      <c r="C9" s="260">
        <v>0.6</v>
      </c>
      <c r="D9" s="262">
        <f>(F9-F6)/C9/60</f>
        <v>0.55555555555555558</v>
      </c>
      <c r="E9" s="262">
        <f>D9+B9</f>
        <v>5.5555555555555554</v>
      </c>
      <c r="F9" s="144">
        <f>G6-G9+F6</f>
        <v>12</v>
      </c>
      <c r="G9" s="269">
        <v>1260</v>
      </c>
      <c r="H9" s="260"/>
      <c r="I9" s="263" t="s">
        <v>31</v>
      </c>
      <c r="J9" s="276" t="s">
        <v>127</v>
      </c>
      <c r="K9" s="274" t="s">
        <v>64</v>
      </c>
      <c r="L9" s="177">
        <v>46.689</v>
      </c>
      <c r="M9" s="177">
        <v>46.69</v>
      </c>
      <c r="N9" s="300">
        <v>47.335999999999999</v>
      </c>
      <c r="O9" s="274">
        <f>(N9-M9)*1000</f>
        <v>646.0000000000008</v>
      </c>
      <c r="P9" s="273" t="s">
        <v>205</v>
      </c>
      <c r="Q9" s="185" t="s">
        <v>54</v>
      </c>
      <c r="R9" s="185"/>
      <c r="S9" s="185"/>
      <c r="T9" s="185"/>
      <c r="U9" s="185"/>
      <c r="V9" s="185"/>
      <c r="W9" s="185"/>
      <c r="X9" s="185"/>
      <c r="Y9" s="172"/>
    </row>
    <row r="10" spans="1:28" ht="46.5" customHeight="1" thickBot="1" x14ac:dyDescent="0.4">
      <c r="A10" s="260">
        <v>3</v>
      </c>
      <c r="B10" s="260">
        <v>5</v>
      </c>
      <c r="C10" s="260">
        <f t="shared" ref="C10:C17" si="0">$C$9</f>
        <v>0.6</v>
      </c>
      <c r="D10" s="262">
        <f>(F10-F9)/C10/60</f>
        <v>0.55555555555555558</v>
      </c>
      <c r="E10" s="262">
        <f>E6+B10+D10</f>
        <v>16.333333333333332</v>
      </c>
      <c r="F10" s="229">
        <f t="shared" ref="F10:F19" si="1">G9-G10+F9</f>
        <v>32</v>
      </c>
      <c r="G10" s="269">
        <v>1240</v>
      </c>
      <c r="H10" s="260"/>
      <c r="I10" s="263" t="s">
        <v>70</v>
      </c>
      <c r="J10" s="260" t="s">
        <v>130</v>
      </c>
      <c r="K10" s="260" t="s">
        <v>64</v>
      </c>
      <c r="L10" s="177">
        <v>7.5110000000000001</v>
      </c>
      <c r="M10" s="177">
        <v>7.5119999999999996</v>
      </c>
      <c r="N10" s="300">
        <v>8.2680000000000007</v>
      </c>
      <c r="O10" s="274">
        <f t="shared" ref="O10:O21" si="2">(N10-M10)*1000</f>
        <v>756.00000000000114</v>
      </c>
      <c r="P10" s="273"/>
      <c r="Q10" s="180"/>
      <c r="R10" s="180"/>
      <c r="S10" s="180"/>
      <c r="T10" s="180"/>
      <c r="U10" s="180" t="s">
        <v>54</v>
      </c>
      <c r="V10" s="180"/>
      <c r="W10" s="180" t="s">
        <v>54</v>
      </c>
      <c r="X10" s="180" t="s">
        <v>54</v>
      </c>
      <c r="Y10" s="172"/>
    </row>
    <row r="11" spans="1:28" ht="46.5" customHeight="1" thickBot="1" x14ac:dyDescent="0.4">
      <c r="A11" s="260">
        <v>4</v>
      </c>
      <c r="B11" s="260">
        <v>5</v>
      </c>
      <c r="C11" s="260">
        <f t="shared" si="0"/>
        <v>0.6</v>
      </c>
      <c r="D11" s="262">
        <f>(F11-F10)/C11/60</f>
        <v>1.1111111111111112</v>
      </c>
      <c r="E11" s="262">
        <f t="shared" ref="E11:E17" si="3">E10+B11+D11</f>
        <v>22.444444444444443</v>
      </c>
      <c r="F11" s="229">
        <f t="shared" si="1"/>
        <v>72</v>
      </c>
      <c r="G11" s="269">
        <v>1200</v>
      </c>
      <c r="H11" s="260"/>
      <c r="I11" s="276" t="s">
        <v>25</v>
      </c>
      <c r="J11" s="274" t="s">
        <v>128</v>
      </c>
      <c r="K11" s="260" t="s">
        <v>64</v>
      </c>
      <c r="L11" s="177">
        <v>30.663</v>
      </c>
      <c r="M11" s="177">
        <v>30.664000000000001</v>
      </c>
      <c r="N11" s="300">
        <v>31.338000000000001</v>
      </c>
      <c r="O11" s="274">
        <f t="shared" si="2"/>
        <v>673.99999999999955</v>
      </c>
      <c r="P11" s="273" t="s">
        <v>205</v>
      </c>
      <c r="Q11" s="180" t="s">
        <v>54</v>
      </c>
      <c r="R11" s="180"/>
      <c r="S11" s="180"/>
      <c r="T11" s="180"/>
      <c r="U11" s="180"/>
      <c r="V11" s="180"/>
      <c r="W11" s="180"/>
      <c r="X11" s="181"/>
      <c r="Y11" s="172" t="s">
        <v>208</v>
      </c>
    </row>
    <row r="12" spans="1:28" ht="46.5" customHeight="1" thickBot="1" x14ac:dyDescent="0.4">
      <c r="A12" s="260">
        <v>5</v>
      </c>
      <c r="B12" s="260">
        <v>5</v>
      </c>
      <c r="C12" s="260">
        <f t="shared" si="0"/>
        <v>0.6</v>
      </c>
      <c r="D12" s="262">
        <f>(F12-F11)/C12/60</f>
        <v>0.55555555555555558</v>
      </c>
      <c r="E12" s="262">
        <f t="shared" ref="E12" si="4">E11+B12+D12</f>
        <v>28</v>
      </c>
      <c r="F12" s="229">
        <f t="shared" si="1"/>
        <v>92</v>
      </c>
      <c r="G12" s="269">
        <v>1180</v>
      </c>
      <c r="H12" s="260"/>
      <c r="I12" s="276" t="s">
        <v>21</v>
      </c>
      <c r="J12" s="274" t="s">
        <v>149</v>
      </c>
      <c r="K12" s="260" t="s">
        <v>65</v>
      </c>
      <c r="L12" s="177">
        <v>11.936999999999999</v>
      </c>
      <c r="M12" s="177">
        <v>11.938000000000001</v>
      </c>
      <c r="N12" s="300">
        <v>12.84</v>
      </c>
      <c r="O12" s="274">
        <f t="shared" si="2"/>
        <v>901.9999999999992</v>
      </c>
      <c r="P12" s="273"/>
      <c r="Q12" s="180"/>
      <c r="R12" s="180"/>
      <c r="S12" s="180"/>
      <c r="T12" s="180" t="s">
        <v>54</v>
      </c>
      <c r="U12" s="180"/>
      <c r="V12" s="180" t="s">
        <v>54</v>
      </c>
      <c r="W12" s="180"/>
      <c r="X12" s="289"/>
      <c r="Y12" s="172"/>
    </row>
    <row r="13" spans="1:28" ht="46.5" customHeight="1" thickBot="1" x14ac:dyDescent="0.4">
      <c r="A13" s="260">
        <v>6</v>
      </c>
      <c r="B13" s="260">
        <v>5</v>
      </c>
      <c r="C13" s="260">
        <f t="shared" si="0"/>
        <v>0.6</v>
      </c>
      <c r="D13" s="262">
        <f t="shared" ref="D13" si="5">(F13-F12)/C13/60</f>
        <v>0.55555555555555558</v>
      </c>
      <c r="E13" s="262">
        <f>E11+B13+D13</f>
        <v>28</v>
      </c>
      <c r="F13" s="229">
        <f t="shared" si="1"/>
        <v>112</v>
      </c>
      <c r="G13" s="269">
        <v>1160</v>
      </c>
      <c r="H13" s="260"/>
      <c r="I13" s="276" t="s">
        <v>29</v>
      </c>
      <c r="J13" s="276" t="s">
        <v>129</v>
      </c>
      <c r="K13" s="260" t="s">
        <v>64</v>
      </c>
      <c r="L13" s="177">
        <v>48.881999999999998</v>
      </c>
      <c r="M13" s="177">
        <v>48.884999999999998</v>
      </c>
      <c r="N13" s="300">
        <v>49.469000000000001</v>
      </c>
      <c r="O13" s="274">
        <f t="shared" si="2"/>
        <v>584.00000000000318</v>
      </c>
      <c r="P13" s="273" t="s">
        <v>205</v>
      </c>
      <c r="Q13" s="180" t="s">
        <v>54</v>
      </c>
      <c r="R13" s="180"/>
      <c r="S13" s="180"/>
      <c r="T13" s="180"/>
      <c r="U13" s="180"/>
      <c r="V13" s="180"/>
      <c r="W13" s="180"/>
      <c r="X13" s="180"/>
      <c r="Y13" s="172"/>
    </row>
    <row r="14" spans="1:28" ht="46.5" customHeight="1" thickBot="1" x14ac:dyDescent="0.4">
      <c r="A14" s="260">
        <v>7</v>
      </c>
      <c r="B14" s="260">
        <v>5</v>
      </c>
      <c r="C14" s="260">
        <f t="shared" si="0"/>
        <v>0.6</v>
      </c>
      <c r="D14" s="262">
        <f t="shared" ref="D14:D19" si="6">(F14-F13)/C14/60</f>
        <v>0.55555555555555558</v>
      </c>
      <c r="E14" s="262">
        <f t="shared" si="3"/>
        <v>33.555555555555557</v>
      </c>
      <c r="F14" s="229">
        <f t="shared" si="1"/>
        <v>132</v>
      </c>
      <c r="G14" s="269">
        <v>1140</v>
      </c>
      <c r="H14" s="260"/>
      <c r="I14" s="276" t="s">
        <v>72</v>
      </c>
      <c r="J14" s="274" t="s">
        <v>132</v>
      </c>
      <c r="K14" s="260" t="s">
        <v>64</v>
      </c>
      <c r="L14" s="177">
        <v>94.457999999999998</v>
      </c>
      <c r="M14" s="177">
        <v>94.457999999999998</v>
      </c>
      <c r="N14" s="300">
        <v>95.210999999999999</v>
      </c>
      <c r="O14" s="274">
        <f t="shared" si="2"/>
        <v>753.00000000000011</v>
      </c>
      <c r="P14" s="273"/>
      <c r="Q14" s="180"/>
      <c r="R14" s="180"/>
      <c r="S14" s="180"/>
      <c r="T14" s="180"/>
      <c r="U14" s="180" t="s">
        <v>54</v>
      </c>
      <c r="V14" s="180"/>
      <c r="W14" s="180" t="s">
        <v>54</v>
      </c>
      <c r="X14" s="180" t="s">
        <v>54</v>
      </c>
      <c r="Y14" s="172"/>
    </row>
    <row r="15" spans="1:28" ht="46.5" customHeight="1" thickBot="1" x14ac:dyDescent="0.4">
      <c r="A15" s="260">
        <v>8</v>
      </c>
      <c r="B15" s="260">
        <v>5</v>
      </c>
      <c r="C15" s="260">
        <f t="shared" si="0"/>
        <v>0.6</v>
      </c>
      <c r="D15" s="262">
        <f t="shared" si="6"/>
        <v>1.1111111111111112</v>
      </c>
      <c r="E15" s="262">
        <f t="shared" si="3"/>
        <v>39.666666666666671</v>
      </c>
      <c r="F15" s="229">
        <f t="shared" si="1"/>
        <v>172</v>
      </c>
      <c r="G15" s="269">
        <v>1100</v>
      </c>
      <c r="H15" s="260"/>
      <c r="I15" s="281" t="s">
        <v>68</v>
      </c>
      <c r="J15" s="274" t="s">
        <v>134</v>
      </c>
      <c r="K15" s="260" t="s">
        <v>64</v>
      </c>
      <c r="L15" s="177">
        <v>176.72200000000001</v>
      </c>
      <c r="M15" s="177">
        <v>176.72200000000001</v>
      </c>
      <c r="N15" s="300">
        <v>177.27</v>
      </c>
      <c r="O15" s="274">
        <f t="shared" si="2"/>
        <v>548.00000000000182</v>
      </c>
      <c r="P15" s="273" t="s">
        <v>205</v>
      </c>
      <c r="Q15" s="180" t="s">
        <v>54</v>
      </c>
      <c r="R15" s="180"/>
      <c r="S15" s="180"/>
      <c r="T15" s="180"/>
      <c r="U15" s="180"/>
      <c r="V15" s="180"/>
      <c r="W15" s="180"/>
      <c r="X15" s="180"/>
      <c r="Y15" s="172"/>
    </row>
    <row r="16" spans="1:28" ht="46.5" customHeight="1" thickBot="1" x14ac:dyDescent="0.4">
      <c r="A16" s="260">
        <v>9</v>
      </c>
      <c r="B16" s="260">
        <v>5</v>
      </c>
      <c r="C16" s="260">
        <f t="shared" si="0"/>
        <v>0.6</v>
      </c>
      <c r="D16" s="262">
        <f t="shared" si="6"/>
        <v>2.7777777777777781</v>
      </c>
      <c r="E16" s="262">
        <f t="shared" si="3"/>
        <v>47.44444444444445</v>
      </c>
      <c r="F16" s="229">
        <f t="shared" si="1"/>
        <v>272</v>
      </c>
      <c r="G16" s="269">
        <v>1000</v>
      </c>
      <c r="H16" s="260"/>
      <c r="I16" s="276" t="s">
        <v>69</v>
      </c>
      <c r="J16" s="276" t="s">
        <v>135</v>
      </c>
      <c r="K16" s="260" t="s">
        <v>64</v>
      </c>
      <c r="L16" s="177">
        <v>4.1840000000000002</v>
      </c>
      <c r="M16" s="177">
        <v>4.1859999999999999</v>
      </c>
      <c r="N16" s="300">
        <v>4.7138999999999998</v>
      </c>
      <c r="O16" s="283">
        <f t="shared" si="2"/>
        <v>527.89999999999986</v>
      </c>
      <c r="P16" s="273" t="s">
        <v>205</v>
      </c>
      <c r="Q16" s="180" t="s">
        <v>54</v>
      </c>
      <c r="R16" s="180"/>
      <c r="S16" s="180"/>
      <c r="T16" s="180"/>
      <c r="U16" s="180"/>
      <c r="V16" s="180"/>
      <c r="W16" s="180"/>
      <c r="X16" s="181"/>
      <c r="Y16" s="172"/>
    </row>
    <row r="17" spans="1:27" ht="46.5" customHeight="1" thickBot="1" x14ac:dyDescent="0.4">
      <c r="A17" s="260">
        <v>10</v>
      </c>
      <c r="B17" s="260">
        <v>5</v>
      </c>
      <c r="C17" s="260">
        <f t="shared" si="0"/>
        <v>0.6</v>
      </c>
      <c r="D17" s="262">
        <f t="shared" si="6"/>
        <v>2.7777777777777781</v>
      </c>
      <c r="E17" s="262">
        <f t="shared" si="3"/>
        <v>55.222222222222229</v>
      </c>
      <c r="F17" s="229">
        <f t="shared" si="1"/>
        <v>372</v>
      </c>
      <c r="G17" s="269">
        <v>900</v>
      </c>
      <c r="H17" s="260"/>
      <c r="I17" s="263" t="s">
        <v>19</v>
      </c>
      <c r="J17" s="260" t="s">
        <v>126</v>
      </c>
      <c r="K17" s="260" t="s">
        <v>64</v>
      </c>
      <c r="L17" s="177">
        <v>25.407</v>
      </c>
      <c r="M17" s="177">
        <v>25.408000000000001</v>
      </c>
      <c r="N17" s="300">
        <v>26.023</v>
      </c>
      <c r="O17" s="274">
        <f t="shared" si="2"/>
        <v>614.99999999999841</v>
      </c>
      <c r="P17" s="273" t="s">
        <v>207</v>
      </c>
      <c r="Q17" s="185" t="s">
        <v>54</v>
      </c>
      <c r="R17" s="185"/>
      <c r="S17" s="185"/>
      <c r="T17" s="185"/>
      <c r="U17" s="185"/>
      <c r="V17" s="185"/>
      <c r="W17" s="185"/>
      <c r="X17" s="185"/>
      <c r="Y17" s="172"/>
    </row>
    <row r="18" spans="1:27" ht="46.5" customHeight="1" thickBot="1" x14ac:dyDescent="0.4">
      <c r="A18" s="268">
        <v>11</v>
      </c>
      <c r="B18" s="268">
        <v>5</v>
      </c>
      <c r="C18" s="268">
        <v>0.6</v>
      </c>
      <c r="D18" s="261">
        <f>(F18-F17)/C18/60</f>
        <v>19.166666666666668</v>
      </c>
      <c r="E18" s="270">
        <f>E17+B18+D18</f>
        <v>79.3888888888889</v>
      </c>
      <c r="F18" s="229">
        <f t="shared" si="1"/>
        <v>1062</v>
      </c>
      <c r="G18" s="269">
        <v>210</v>
      </c>
      <c r="H18" s="279"/>
      <c r="I18" s="301" t="s">
        <v>71</v>
      </c>
      <c r="J18" s="279" t="s">
        <v>131</v>
      </c>
      <c r="K18" s="279" t="s">
        <v>64</v>
      </c>
      <c r="L18" s="174">
        <v>68.134</v>
      </c>
      <c r="M18" s="174">
        <v>68.135000000000005</v>
      </c>
      <c r="N18" s="300">
        <v>68.736000000000004</v>
      </c>
      <c r="O18" s="274">
        <f t="shared" si="2"/>
        <v>600.99999999999909</v>
      </c>
      <c r="P18" s="285" t="s">
        <v>207</v>
      </c>
      <c r="Q18" s="185" t="s">
        <v>54</v>
      </c>
      <c r="R18" s="180"/>
      <c r="S18" s="180"/>
      <c r="T18" s="180"/>
      <c r="U18" s="180"/>
      <c r="V18" s="180"/>
      <c r="W18" s="180"/>
      <c r="X18" s="180"/>
      <c r="Y18" s="171"/>
    </row>
    <row r="19" spans="1:27" ht="46.5" customHeight="1" x14ac:dyDescent="0.35">
      <c r="A19" s="742">
        <v>12</v>
      </c>
      <c r="B19" s="742">
        <v>5</v>
      </c>
      <c r="C19" s="742">
        <f>C6</f>
        <v>0.6</v>
      </c>
      <c r="D19" s="852">
        <f t="shared" si="6"/>
        <v>0.55555555555555558</v>
      </c>
      <c r="E19" s="789">
        <f>E18+D19+B19</f>
        <v>84.944444444444457</v>
      </c>
      <c r="F19" s="879">
        <f t="shared" si="1"/>
        <v>1082</v>
      </c>
      <c r="G19" s="742">
        <v>190</v>
      </c>
      <c r="H19" s="742"/>
      <c r="I19" s="801" t="s">
        <v>23</v>
      </c>
      <c r="J19" s="277" t="s">
        <v>150</v>
      </c>
      <c r="K19" s="175" t="s">
        <v>64</v>
      </c>
      <c r="L19" s="175">
        <v>2.8035000000000001</v>
      </c>
      <c r="M19" s="175">
        <v>2.8035999999999999</v>
      </c>
      <c r="N19" s="288">
        <v>3.1642999999999999</v>
      </c>
      <c r="O19" s="282">
        <f t="shared" si="2"/>
        <v>360.70000000000005</v>
      </c>
      <c r="P19" s="876"/>
      <c r="Q19" s="181"/>
      <c r="R19" s="181"/>
      <c r="S19" s="181"/>
      <c r="T19" s="181"/>
      <c r="U19" s="181" t="s">
        <v>54</v>
      </c>
      <c r="V19" s="181"/>
      <c r="W19" s="181" t="s">
        <v>54</v>
      </c>
      <c r="X19" s="181" t="s">
        <v>54</v>
      </c>
      <c r="Y19" s="859"/>
    </row>
    <row r="20" spans="1:27" ht="46.5" customHeight="1" x14ac:dyDescent="0.35">
      <c r="A20" s="742"/>
      <c r="B20" s="742"/>
      <c r="C20" s="742"/>
      <c r="D20" s="852"/>
      <c r="E20" s="789"/>
      <c r="F20" s="791"/>
      <c r="G20" s="742"/>
      <c r="H20" s="742"/>
      <c r="I20" s="801"/>
      <c r="J20" s="278" t="s">
        <v>151</v>
      </c>
      <c r="K20" s="176" t="s">
        <v>65</v>
      </c>
      <c r="L20" s="176">
        <v>3.9226000000000001</v>
      </c>
      <c r="M20" s="176">
        <v>3.9258999999999999</v>
      </c>
      <c r="N20" s="287">
        <v>4.5743999999999998</v>
      </c>
      <c r="O20" s="305">
        <f t="shared" si="2"/>
        <v>648.49999999999989</v>
      </c>
      <c r="P20" s="876"/>
      <c r="Q20" s="183"/>
      <c r="R20" s="183"/>
      <c r="S20" s="183"/>
      <c r="T20" s="183" t="s">
        <v>54</v>
      </c>
      <c r="U20" s="183"/>
      <c r="V20" s="183"/>
      <c r="W20" s="183"/>
      <c r="X20" s="183"/>
      <c r="Y20" s="859"/>
    </row>
    <row r="21" spans="1:27" ht="46.5" customHeight="1" thickBot="1" x14ac:dyDescent="0.4">
      <c r="A21" s="743"/>
      <c r="B21" s="743"/>
      <c r="C21" s="743"/>
      <c r="D21" s="853"/>
      <c r="E21" s="790"/>
      <c r="F21" s="792"/>
      <c r="G21" s="743"/>
      <c r="H21" s="743"/>
      <c r="I21" s="802"/>
      <c r="J21" s="279" t="s">
        <v>179</v>
      </c>
      <c r="K21" s="279"/>
      <c r="L21" s="174">
        <v>6.5708000000000002</v>
      </c>
      <c r="M21" s="174">
        <v>6.5738000000000003</v>
      </c>
      <c r="N21" s="299">
        <v>7.5811000000000002</v>
      </c>
      <c r="O21" s="283">
        <f t="shared" si="2"/>
        <v>1007.2999999999998</v>
      </c>
      <c r="P21" s="877"/>
      <c r="Q21" s="180"/>
      <c r="R21" s="180"/>
      <c r="S21" s="180"/>
      <c r="T21" s="180"/>
      <c r="U21" s="180"/>
      <c r="V21" s="180"/>
      <c r="W21" s="180"/>
      <c r="X21" s="180"/>
      <c r="Y21" s="860"/>
    </row>
    <row r="22" spans="1:27" ht="46.5" customHeight="1" thickBot="1" x14ac:dyDescent="0.4">
      <c r="A22" s="284">
        <v>13</v>
      </c>
      <c r="B22" s="284">
        <v>5</v>
      </c>
      <c r="C22" s="284">
        <v>0.6</v>
      </c>
      <c r="D22" s="210">
        <f>(F22-F19)/C22/60</f>
        <v>3.8888888888888888</v>
      </c>
      <c r="E22" s="210">
        <f>E19+B22+D22</f>
        <v>93.833333333333343</v>
      </c>
      <c r="F22" s="229">
        <f>G19-G22+F19</f>
        <v>1222</v>
      </c>
      <c r="G22" s="284">
        <v>50</v>
      </c>
      <c r="H22" s="284"/>
      <c r="I22" s="164" t="s">
        <v>67</v>
      </c>
      <c r="J22" s="284" t="s">
        <v>133</v>
      </c>
      <c r="K22" s="284" t="s">
        <v>65</v>
      </c>
      <c r="L22" s="178">
        <v>74.441999999999993</v>
      </c>
      <c r="M22" s="178">
        <v>74.444999999999993</v>
      </c>
      <c r="N22" s="302">
        <v>74.872</v>
      </c>
      <c r="O22" s="284">
        <f>(N22-M22)*1000</f>
        <v>427.00000000000671</v>
      </c>
      <c r="P22" s="303" t="s">
        <v>115</v>
      </c>
      <c r="Q22" s="188"/>
      <c r="R22" s="188"/>
      <c r="S22" s="188"/>
      <c r="T22" s="188" t="s">
        <v>54</v>
      </c>
      <c r="U22" s="188"/>
      <c r="V22" s="188"/>
      <c r="W22" s="188"/>
      <c r="X22" s="188"/>
      <c r="Y22" s="304"/>
    </row>
    <row r="23" spans="1:27" ht="47.9" customHeight="1" thickBot="1" x14ac:dyDescent="0.6">
      <c r="A23" s="24" t="s">
        <v>10</v>
      </c>
      <c r="B23" s="267">
        <f>SUM(B6:B21)</f>
        <v>60</v>
      </c>
      <c r="C23" s="267"/>
      <c r="D23" s="271">
        <f>SUM(D6:D22)</f>
        <v>34.388888888888893</v>
      </c>
      <c r="E23" s="271"/>
      <c r="F23" s="144">
        <f>G6</f>
        <v>1280</v>
      </c>
      <c r="G23" s="827" t="s">
        <v>18</v>
      </c>
      <c r="H23" s="828"/>
      <c r="I23" s="828"/>
      <c r="J23" s="22"/>
      <c r="K23" s="97" t="s">
        <v>103</v>
      </c>
      <c r="L23" s="838" t="s">
        <v>102</v>
      </c>
      <c r="M23" s="838"/>
      <c r="N23" s="265" t="s">
        <v>53</v>
      </c>
    </row>
    <row r="24" spans="1:27" ht="48.75" customHeight="1" x14ac:dyDescent="0.35">
      <c r="A24" s="26" t="s">
        <v>12</v>
      </c>
      <c r="B24" s="268">
        <f>B23/60</f>
        <v>1</v>
      </c>
      <c r="C24" s="268"/>
      <c r="D24" s="270" t="s">
        <v>14</v>
      </c>
      <c r="E24" s="270"/>
      <c r="F24" s="27"/>
      <c r="J24" s="95" t="s">
        <v>145</v>
      </c>
      <c r="K24" s="30">
        <v>44224</v>
      </c>
      <c r="L24" s="829">
        <v>3.888888888888889E-2</v>
      </c>
      <c r="M24" s="841"/>
      <c r="N24" s="259">
        <v>0.91388888888888886</v>
      </c>
      <c r="AA24">
        <v>1</v>
      </c>
    </row>
    <row r="25" spans="1:27" ht="55.4" customHeight="1" x14ac:dyDescent="0.35">
      <c r="J25" s="96" t="s">
        <v>45</v>
      </c>
      <c r="K25" s="30">
        <v>44225</v>
      </c>
      <c r="L25" s="762">
        <v>0.13541666666666666</v>
      </c>
      <c r="M25" s="763"/>
      <c r="N25" s="266">
        <v>1.0416666666666666E-2</v>
      </c>
    </row>
    <row r="26" spans="1:27" ht="50.25" customHeight="1" x14ac:dyDescent="0.35">
      <c r="A26" s="1"/>
      <c r="B26" s="1"/>
      <c r="C26" s="1"/>
      <c r="D26" s="1"/>
      <c r="E26" s="1"/>
      <c r="F26" s="1"/>
      <c r="G26" s="1"/>
      <c r="J26" s="96" t="s">
        <v>46</v>
      </c>
      <c r="K26" s="30">
        <v>44225</v>
      </c>
      <c r="L26" s="762">
        <v>0.21875</v>
      </c>
      <c r="M26" s="766"/>
      <c r="N26" s="266">
        <v>9.375E-2</v>
      </c>
    </row>
    <row r="27" spans="1:27" ht="50.25" customHeight="1" x14ac:dyDescent="0.35">
      <c r="A27" s="805" t="s">
        <v>52</v>
      </c>
      <c r="B27" s="805"/>
      <c r="C27" s="805"/>
      <c r="D27" s="805"/>
      <c r="E27" s="805"/>
      <c r="F27" s="805"/>
      <c r="J27" s="96" t="s">
        <v>47</v>
      </c>
      <c r="K27" s="30">
        <v>44225</v>
      </c>
      <c r="L27" s="762">
        <v>0.26041666666666669</v>
      </c>
      <c r="M27" s="766"/>
      <c r="N27" s="266">
        <v>0.13541666666666666</v>
      </c>
    </row>
    <row r="28" spans="1:27" ht="21" customHeight="1" x14ac:dyDescent="0.4">
      <c r="A28" s="17" t="s">
        <v>51</v>
      </c>
      <c r="B28" s="17"/>
      <c r="C28" s="17"/>
      <c r="F28" s="22">
        <v>8</v>
      </c>
      <c r="G28" s="20" t="s">
        <v>11</v>
      </c>
      <c r="J28" s="17"/>
      <c r="K28" s="19"/>
    </row>
    <row r="29" spans="1:27" ht="60" customHeight="1" x14ac:dyDescent="0.6">
      <c r="A29" s="120" t="s">
        <v>168</v>
      </c>
      <c r="F29" s="145">
        <v>0</v>
      </c>
      <c r="G29" s="17" t="s">
        <v>169</v>
      </c>
      <c r="J29" s="10" t="s">
        <v>50</v>
      </c>
      <c r="K29" s="31">
        <f>E22+F29</f>
        <v>93.833333333333343</v>
      </c>
    </row>
    <row r="30" spans="1:27" ht="78" customHeight="1" x14ac:dyDescent="0.7">
      <c r="A30" s="146"/>
      <c r="F30" s="17"/>
      <c r="G30" s="17"/>
      <c r="H30" s="17"/>
      <c r="I30" s="15"/>
      <c r="J30" s="10" t="s">
        <v>49</v>
      </c>
      <c r="K30" s="31">
        <f>D23+5*A19+F29</f>
        <v>94.388888888888886</v>
      </c>
    </row>
    <row r="31" spans="1:27" ht="57.75" customHeight="1" x14ac:dyDescent="0.55000000000000004">
      <c r="A31" s="147"/>
      <c r="B31" s="20"/>
      <c r="C31" s="17"/>
      <c r="I31" s="9"/>
      <c r="J31" s="1"/>
      <c r="K31" s="1"/>
      <c r="L31" s="1"/>
      <c r="M31" s="2"/>
    </row>
    <row r="32" spans="1:27" ht="20" x14ac:dyDescent="0.4">
      <c r="C32" s="17"/>
      <c r="D32" s="17"/>
      <c r="E32" s="17" t="s">
        <v>14</v>
      </c>
      <c r="F32" s="17"/>
      <c r="I32" s="15"/>
      <c r="J32" s="1"/>
      <c r="K32" s="1"/>
      <c r="L32" s="1"/>
      <c r="M32" s="2"/>
    </row>
    <row r="33" spans="1:15" ht="20" x14ac:dyDescent="0.4">
      <c r="A33" s="19"/>
      <c r="B33" s="20"/>
      <c r="C33" s="17"/>
      <c r="D33" s="17"/>
      <c r="E33" s="23"/>
      <c r="F33" s="17"/>
      <c r="G33" s="17"/>
      <c r="H33" s="17"/>
      <c r="I33" s="15"/>
      <c r="J33" s="1"/>
      <c r="K33" s="1"/>
      <c r="L33" s="1"/>
      <c r="M33" s="2"/>
      <c r="N33" s="2"/>
      <c r="O33" s="2"/>
    </row>
    <row r="34" spans="1:15" ht="20" x14ac:dyDescent="0.4">
      <c r="A34" s="19"/>
      <c r="B34" s="20"/>
      <c r="C34" s="17"/>
      <c r="D34" s="17"/>
      <c r="E34" s="17"/>
      <c r="F34" s="17"/>
      <c r="G34" s="17"/>
      <c r="H34" s="17"/>
      <c r="I34" s="15"/>
      <c r="J34" s="1"/>
      <c r="K34" s="1"/>
      <c r="L34" s="1"/>
      <c r="M34" s="2"/>
    </row>
    <row r="35" spans="1:15" ht="18.5" x14ac:dyDescent="0.45">
      <c r="A35" s="16"/>
      <c r="B35" s="16"/>
      <c r="C35" s="16"/>
      <c r="D35" s="16"/>
      <c r="E35" s="16"/>
      <c r="F35" s="16"/>
      <c r="G35" s="16"/>
      <c r="H35" s="16"/>
      <c r="I35" s="16"/>
    </row>
  </sheetData>
  <mergeCells count="33">
    <mergeCell ref="G23:I23"/>
    <mergeCell ref="L24:M24"/>
    <mergeCell ref="L25:M25"/>
    <mergeCell ref="L26:M26"/>
    <mergeCell ref="A27:F27"/>
    <mergeCell ref="L27:M27"/>
    <mergeCell ref="L23:M23"/>
    <mergeCell ref="F19:F21"/>
    <mergeCell ref="G19:G21"/>
    <mergeCell ref="H19:H21"/>
    <mergeCell ref="I19:I21"/>
    <mergeCell ref="P19:P21"/>
    <mergeCell ref="Y19:Y21"/>
    <mergeCell ref="G6:G8"/>
    <mergeCell ref="H6:H8"/>
    <mergeCell ref="I6:I8"/>
    <mergeCell ref="P6:P8"/>
    <mergeCell ref="Y6:Y8"/>
    <mergeCell ref="A19:A21"/>
    <mergeCell ref="B19:B21"/>
    <mergeCell ref="C19:C21"/>
    <mergeCell ref="D19:D21"/>
    <mergeCell ref="E19:E21"/>
    <mergeCell ref="M3:O3"/>
    <mergeCell ref="Q4:S4"/>
    <mergeCell ref="T4:W4"/>
    <mergeCell ref="L5:M5"/>
    <mergeCell ref="A6:A8"/>
    <mergeCell ref="B6:B8"/>
    <mergeCell ref="C6:C8"/>
    <mergeCell ref="D6:D8"/>
    <mergeCell ref="E6:E8"/>
    <mergeCell ref="F6:F8"/>
  </mergeCells>
  <pageMargins left="0.7" right="0.7" top="0.75" bottom="0.75" header="0.3" footer="0.3"/>
  <pageSetup paperSize="9" scale="2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9"/>
  <sheetViews>
    <sheetView topLeftCell="A5" zoomScale="40" zoomScaleNormal="40" workbookViewId="0">
      <selection activeCell="AB5" sqref="AB5"/>
    </sheetView>
  </sheetViews>
  <sheetFormatPr defaultColWidth="11.453125" defaultRowHeight="14.5" x14ac:dyDescent="0.35"/>
  <cols>
    <col min="1" max="1" width="12.08984375" customWidth="1"/>
    <col min="2" max="2" width="13" customWidth="1"/>
    <col min="3" max="3" width="15.453125" customWidth="1"/>
    <col min="4" max="5" width="14.453125" customWidth="1"/>
    <col min="6" max="6" width="19.90625" customWidth="1"/>
    <col min="7" max="7" width="13.453125" customWidth="1"/>
    <col min="8" max="8" width="13.90625" customWidth="1"/>
    <col min="9" max="9" width="14" customWidth="1"/>
    <col min="10" max="10" width="21.08984375" customWidth="1"/>
    <col min="11" max="11" width="21.453125" customWidth="1"/>
    <col min="12" max="12" width="18" customWidth="1"/>
    <col min="13" max="13" width="20.90625" customWidth="1"/>
    <col min="14" max="14" width="28.08984375" bestFit="1" customWidth="1"/>
    <col min="15" max="15" width="19" customWidth="1"/>
    <col min="16" max="24" width="9.08984375" customWidth="1"/>
    <col min="25" max="25" width="102.08984375" bestFit="1" customWidth="1"/>
    <col min="26" max="26" width="10.453125" customWidth="1"/>
    <col min="27" max="27" width="10.453125" bestFit="1" customWidth="1"/>
    <col min="28" max="28" width="34.453125" customWidth="1"/>
  </cols>
  <sheetData>
    <row r="1" spans="1:28" ht="20" x14ac:dyDescent="0.4">
      <c r="A1" s="18"/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</row>
    <row r="2" spans="1:28" ht="32.5" x14ac:dyDescent="0.65">
      <c r="A2" s="84" t="s">
        <v>36</v>
      </c>
      <c r="B2" s="83"/>
      <c r="C2" s="98" t="s">
        <v>220</v>
      </c>
      <c r="D2" s="83"/>
      <c r="H2" s="91" t="s">
        <v>96</v>
      </c>
      <c r="I2" s="193"/>
      <c r="J2" s="342" t="s">
        <v>224</v>
      </c>
      <c r="K2" s="89" t="s">
        <v>99</v>
      </c>
      <c r="L2" s="1"/>
      <c r="M2" s="2"/>
      <c r="N2" s="2"/>
      <c r="O2" s="2"/>
    </row>
    <row r="3" spans="1:28" ht="30.5" x14ac:dyDescent="0.65">
      <c r="A3" s="119" t="s">
        <v>136</v>
      </c>
      <c r="B3" s="120"/>
      <c r="C3" s="121">
        <v>1749</v>
      </c>
      <c r="D3" s="122" t="s">
        <v>11</v>
      </c>
      <c r="E3" s="1"/>
      <c r="F3" s="1"/>
      <c r="G3" s="1"/>
      <c r="H3" s="92" t="s">
        <v>97</v>
      </c>
      <c r="I3" s="193"/>
      <c r="J3" s="342" t="s">
        <v>225</v>
      </c>
      <c r="K3" s="89" t="s">
        <v>100</v>
      </c>
      <c r="L3" s="1"/>
      <c r="M3" s="880"/>
      <c r="N3" s="880"/>
      <c r="O3" s="880"/>
    </row>
    <row r="4" spans="1:28" ht="28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Q4" s="778" t="s">
        <v>38</v>
      </c>
      <c r="R4" s="779"/>
      <c r="S4" s="780"/>
      <c r="T4" s="781" t="s">
        <v>43</v>
      </c>
      <c r="U4" s="782"/>
      <c r="V4" s="782"/>
      <c r="W4" s="783"/>
      <c r="X4" s="311"/>
      <c r="Y4" s="13" t="s">
        <v>48</v>
      </c>
    </row>
    <row r="5" spans="1:28" ht="63" thickBot="1" x14ac:dyDescent="0.55000000000000004">
      <c r="A5" s="10" t="s">
        <v>98</v>
      </c>
      <c r="B5" s="10" t="s">
        <v>0</v>
      </c>
      <c r="C5" s="10" t="s">
        <v>17</v>
      </c>
      <c r="D5" s="10" t="s">
        <v>1</v>
      </c>
      <c r="E5" s="10" t="s">
        <v>2</v>
      </c>
      <c r="F5" s="12" t="s">
        <v>3</v>
      </c>
      <c r="G5" s="13" t="s">
        <v>4</v>
      </c>
      <c r="H5" s="13" t="s">
        <v>5</v>
      </c>
      <c r="I5" s="93" t="s">
        <v>16</v>
      </c>
      <c r="J5" s="290" t="s">
        <v>15</v>
      </c>
      <c r="K5" s="290" t="s">
        <v>66</v>
      </c>
      <c r="L5" s="873" t="s">
        <v>143</v>
      </c>
      <c r="M5" s="874"/>
      <c r="N5" s="291" t="s">
        <v>144</v>
      </c>
      <c r="O5" s="292" t="s">
        <v>8</v>
      </c>
      <c r="P5" s="292" t="s">
        <v>137</v>
      </c>
      <c r="Q5" s="293" t="s">
        <v>42</v>
      </c>
      <c r="R5" s="293" t="s">
        <v>37</v>
      </c>
      <c r="S5" s="293" t="s">
        <v>44</v>
      </c>
      <c r="T5" s="294" t="s">
        <v>41</v>
      </c>
      <c r="U5" s="294" t="s">
        <v>39</v>
      </c>
      <c r="V5" s="294" t="s">
        <v>40</v>
      </c>
      <c r="W5" s="294" t="s">
        <v>42</v>
      </c>
      <c r="X5" s="294" t="s">
        <v>178</v>
      </c>
      <c r="Y5" s="295"/>
      <c r="AB5" s="723">
        <f>SUM(O8:O13,O16:O22)</f>
        <v>8583.5000000000164</v>
      </c>
    </row>
    <row r="6" spans="1:28" ht="36" customHeight="1" x14ac:dyDescent="0.35">
      <c r="A6" s="806">
        <v>1</v>
      </c>
      <c r="B6" s="806">
        <v>5</v>
      </c>
      <c r="C6" s="806">
        <f>$C$9</f>
        <v>0.6</v>
      </c>
      <c r="D6" s="807">
        <f>ABS(F6/C6/60)</f>
        <v>0.22222222222222224</v>
      </c>
      <c r="E6" s="807">
        <f>D6+B6</f>
        <v>5.2222222222222223</v>
      </c>
      <c r="F6" s="858">
        <v>-8</v>
      </c>
      <c r="G6" s="861">
        <v>1710</v>
      </c>
      <c r="H6" s="806"/>
      <c r="I6" s="759" t="s">
        <v>27</v>
      </c>
      <c r="J6" s="315" t="s">
        <v>204</v>
      </c>
      <c r="K6" s="296" t="s">
        <v>213</v>
      </c>
      <c r="L6" s="333">
        <v>4.1070000000000002</v>
      </c>
      <c r="M6" s="296">
        <v>4.1077000000000004</v>
      </c>
      <c r="N6" s="297">
        <v>4.4740000000000002</v>
      </c>
      <c r="O6" s="308">
        <f>(N6-M6)*1000</f>
        <v>366.29999999999984</v>
      </c>
      <c r="P6" s="875"/>
      <c r="Q6" s="298"/>
      <c r="R6" s="298"/>
      <c r="S6" s="298"/>
      <c r="T6" s="298"/>
      <c r="U6" s="298" t="s">
        <v>54</v>
      </c>
      <c r="V6" s="298"/>
      <c r="W6" s="298" t="s">
        <v>54</v>
      </c>
      <c r="X6" s="298" t="s">
        <v>54</v>
      </c>
      <c r="Y6" s="878"/>
    </row>
    <row r="7" spans="1:28" ht="38.9" customHeight="1" x14ac:dyDescent="0.35">
      <c r="A7" s="742"/>
      <c r="B7" s="742"/>
      <c r="C7" s="742"/>
      <c r="D7" s="789"/>
      <c r="E7" s="789"/>
      <c r="F7" s="791"/>
      <c r="G7" s="862"/>
      <c r="H7" s="742"/>
      <c r="I7" s="760"/>
      <c r="J7" s="313" t="s">
        <v>151</v>
      </c>
      <c r="K7" s="176" t="s">
        <v>214</v>
      </c>
      <c r="L7" s="334">
        <v>5.1452</v>
      </c>
      <c r="M7" s="176">
        <v>5.1462000000000003</v>
      </c>
      <c r="N7" s="287">
        <v>5.5979999999999999</v>
      </c>
      <c r="O7" s="331">
        <f>(N7-M7)*1000</f>
        <v>451.79999999999956</v>
      </c>
      <c r="P7" s="876"/>
      <c r="Q7" s="183"/>
      <c r="R7" s="183"/>
      <c r="S7" s="183"/>
      <c r="T7" s="183"/>
      <c r="U7" s="183"/>
      <c r="V7" s="183" t="s">
        <v>54</v>
      </c>
      <c r="W7" s="183"/>
      <c r="X7" s="183"/>
      <c r="Y7" s="859"/>
    </row>
    <row r="8" spans="1:28" ht="38.9" customHeight="1" thickBot="1" x14ac:dyDescent="0.4">
      <c r="A8" s="743"/>
      <c r="B8" s="743"/>
      <c r="C8" s="743"/>
      <c r="D8" s="790"/>
      <c r="E8" s="790"/>
      <c r="F8" s="792"/>
      <c r="G8" s="863"/>
      <c r="H8" s="743"/>
      <c r="I8" s="761"/>
      <c r="J8" s="314" t="s">
        <v>179</v>
      </c>
      <c r="K8" s="314"/>
      <c r="L8" s="335">
        <v>9.0059000000000005</v>
      </c>
      <c r="M8" s="174">
        <v>9.0061999999999998</v>
      </c>
      <c r="N8" s="299">
        <v>9.8194999999999997</v>
      </c>
      <c r="O8" s="328">
        <f t="shared" ref="O8:O22" si="0">(N8-M8)*1000</f>
        <v>813.3</v>
      </c>
      <c r="P8" s="877"/>
      <c r="Q8" s="180"/>
      <c r="R8" s="180"/>
      <c r="S8" s="180"/>
      <c r="T8" s="180"/>
      <c r="U8" s="180"/>
      <c r="V8" s="180"/>
      <c r="W8" s="180"/>
      <c r="X8" s="180"/>
      <c r="Y8" s="860"/>
    </row>
    <row r="9" spans="1:28" ht="45.75" customHeight="1" thickBot="1" x14ac:dyDescent="0.4">
      <c r="A9" s="307">
        <v>2</v>
      </c>
      <c r="B9" s="307">
        <v>5</v>
      </c>
      <c r="C9" s="307">
        <v>0.6</v>
      </c>
      <c r="D9" s="309">
        <f>(F9-F6)/C9/60</f>
        <v>0.55555555555555558</v>
      </c>
      <c r="E9" s="309">
        <f>B9+D9+E6</f>
        <v>10.777777777777779</v>
      </c>
      <c r="F9" s="144">
        <f>G6-G9+F6</f>
        <v>12</v>
      </c>
      <c r="G9" s="316">
        <v>1690</v>
      </c>
      <c r="H9" s="326"/>
      <c r="I9" s="307" t="s">
        <v>31</v>
      </c>
      <c r="J9" s="307" t="s">
        <v>127</v>
      </c>
      <c r="K9" s="307" t="s">
        <v>215</v>
      </c>
      <c r="L9" s="336">
        <v>47.335999999999999</v>
      </c>
      <c r="M9" s="177">
        <v>47.341000000000001</v>
      </c>
      <c r="N9" s="300">
        <v>47.970999999999997</v>
      </c>
      <c r="O9" s="325">
        <f t="shared" si="0"/>
        <v>629.99999999999545</v>
      </c>
      <c r="P9" s="320" t="s">
        <v>140</v>
      </c>
      <c r="Q9" s="185" t="s">
        <v>54</v>
      </c>
      <c r="R9" s="185"/>
      <c r="S9" s="185"/>
      <c r="T9" s="185"/>
      <c r="U9" s="185"/>
      <c r="V9" s="185"/>
      <c r="W9" s="339"/>
      <c r="X9" s="185"/>
      <c r="Y9" s="172"/>
    </row>
    <row r="10" spans="1:28" ht="49.5" customHeight="1" thickBot="1" x14ac:dyDescent="0.4">
      <c r="A10" s="307">
        <v>3</v>
      </c>
      <c r="B10" s="307">
        <v>5</v>
      </c>
      <c r="C10" s="307">
        <f t="shared" ref="C10:C22" si="1">$C$9</f>
        <v>0.6</v>
      </c>
      <c r="D10" s="309">
        <f>(F10-F9)/C10/60</f>
        <v>8.8888888888888893</v>
      </c>
      <c r="E10" s="309">
        <f>B10+D10+E9</f>
        <v>24.666666666666668</v>
      </c>
      <c r="F10" s="229">
        <f>G22-G10+F22</f>
        <v>332</v>
      </c>
      <c r="G10" s="316">
        <v>1370</v>
      </c>
      <c r="H10" s="307"/>
      <c r="I10" s="307" t="s">
        <v>25</v>
      </c>
      <c r="J10" s="307" t="s">
        <v>128</v>
      </c>
      <c r="K10" s="307" t="s">
        <v>216</v>
      </c>
      <c r="L10" s="336">
        <v>31.338000000000001</v>
      </c>
      <c r="M10" s="177">
        <v>31.34</v>
      </c>
      <c r="N10" s="300">
        <v>32.017000000000003</v>
      </c>
      <c r="O10" s="325">
        <f t="shared" si="0"/>
        <v>677.00000000000318</v>
      </c>
      <c r="P10" s="320" t="s">
        <v>227</v>
      </c>
      <c r="Q10" s="185" t="s">
        <v>54</v>
      </c>
      <c r="R10" s="180"/>
      <c r="S10" s="180"/>
      <c r="T10" s="180"/>
      <c r="U10" s="180"/>
      <c r="V10" s="180"/>
      <c r="W10" s="185"/>
      <c r="X10" s="188"/>
      <c r="Y10" s="172"/>
    </row>
    <row r="11" spans="1:28" ht="48" customHeight="1" thickBot="1" x14ac:dyDescent="0.4">
      <c r="A11" s="307">
        <v>4</v>
      </c>
      <c r="B11" s="307">
        <v>5</v>
      </c>
      <c r="C11" s="307">
        <f t="shared" si="1"/>
        <v>0.6</v>
      </c>
      <c r="D11" s="309">
        <f>(F11-F10)/C11/60</f>
        <v>0.55555555555555558</v>
      </c>
      <c r="E11" s="309">
        <f>B11+D11+E10</f>
        <v>30.222222222222221</v>
      </c>
      <c r="F11" s="229">
        <f t="shared" ref="F11:F20" si="2">G10-G11+F10</f>
        <v>352</v>
      </c>
      <c r="G11" s="316">
        <v>1350</v>
      </c>
      <c r="H11" s="307"/>
      <c r="I11" s="307" t="s">
        <v>21</v>
      </c>
      <c r="J11" s="307" t="s">
        <v>149</v>
      </c>
      <c r="K11" s="307" t="s">
        <v>223</v>
      </c>
      <c r="L11" s="336">
        <v>12.84</v>
      </c>
      <c r="M11" s="177">
        <v>12.842000000000001</v>
      </c>
      <c r="N11" s="300">
        <v>13.528</v>
      </c>
      <c r="O11" s="325">
        <f t="shared" si="0"/>
        <v>686</v>
      </c>
      <c r="P11" s="320"/>
      <c r="Q11" s="180"/>
      <c r="R11" s="180"/>
      <c r="S11" s="180"/>
      <c r="T11" s="180"/>
      <c r="U11" s="180" t="s">
        <v>54</v>
      </c>
      <c r="V11" s="180"/>
      <c r="W11" s="180" t="s">
        <v>54</v>
      </c>
      <c r="X11" s="185" t="s">
        <v>54</v>
      </c>
      <c r="Y11" s="172"/>
    </row>
    <row r="12" spans="1:28" ht="50.9" customHeight="1" thickBot="1" x14ac:dyDescent="0.4">
      <c r="A12" s="307">
        <v>5</v>
      </c>
      <c r="B12" s="307">
        <v>5</v>
      </c>
      <c r="C12" s="307">
        <f t="shared" si="1"/>
        <v>0.6</v>
      </c>
      <c r="D12" s="309">
        <f>(F12-F11)/C12/60</f>
        <v>1.9444444444444444</v>
      </c>
      <c r="E12" s="309">
        <f>B12+D12+E11</f>
        <v>37.166666666666664</v>
      </c>
      <c r="F12" s="229">
        <f t="shared" si="2"/>
        <v>422</v>
      </c>
      <c r="G12" s="316">
        <v>1280</v>
      </c>
      <c r="H12" s="307"/>
      <c r="I12" s="307" t="s">
        <v>29</v>
      </c>
      <c r="J12" s="307" t="s">
        <v>129</v>
      </c>
      <c r="K12" s="307" t="s">
        <v>213</v>
      </c>
      <c r="L12" s="336">
        <v>49.469000000000001</v>
      </c>
      <c r="M12" s="177">
        <v>49.470999999999997</v>
      </c>
      <c r="N12" s="300">
        <v>50.097999999999999</v>
      </c>
      <c r="O12" s="325">
        <f t="shared" si="0"/>
        <v>627.0000000000025</v>
      </c>
      <c r="P12" s="320"/>
      <c r="Q12" s="180"/>
      <c r="R12" s="180"/>
      <c r="S12" s="180"/>
      <c r="T12" s="180"/>
      <c r="U12" s="180" t="s">
        <v>54</v>
      </c>
      <c r="V12" s="180"/>
      <c r="W12" s="180" t="s">
        <v>54</v>
      </c>
      <c r="X12" s="185" t="s">
        <v>54</v>
      </c>
      <c r="Y12" s="172"/>
    </row>
    <row r="13" spans="1:28" ht="51.75" customHeight="1" thickBot="1" x14ac:dyDescent="0.4">
      <c r="A13" s="307">
        <v>6</v>
      </c>
      <c r="B13" s="307">
        <v>5</v>
      </c>
      <c r="C13" s="307">
        <f t="shared" si="1"/>
        <v>0.6</v>
      </c>
      <c r="D13" s="309">
        <f>(F13-F12)/C13/60</f>
        <v>0.55555555555555558</v>
      </c>
      <c r="E13" s="309">
        <f>B13+D13+E12</f>
        <v>42.722222222222221</v>
      </c>
      <c r="F13" s="229">
        <f t="shared" si="2"/>
        <v>442</v>
      </c>
      <c r="G13" s="316">
        <v>1260</v>
      </c>
      <c r="H13" s="307"/>
      <c r="I13" s="307" t="s">
        <v>72</v>
      </c>
      <c r="J13" s="307" t="s">
        <v>132</v>
      </c>
      <c r="K13" s="307" t="s">
        <v>217</v>
      </c>
      <c r="L13" s="336">
        <v>95.210999999999999</v>
      </c>
      <c r="M13" s="177">
        <v>95.213999999999999</v>
      </c>
      <c r="N13" s="300">
        <v>95.879000000000005</v>
      </c>
      <c r="O13" s="325">
        <f t="shared" si="0"/>
        <v>665.00000000000625</v>
      </c>
      <c r="P13" s="320" t="s">
        <v>140</v>
      </c>
      <c r="Q13" s="185" t="s">
        <v>54</v>
      </c>
      <c r="R13" s="180"/>
      <c r="S13" s="180"/>
      <c r="T13" s="180"/>
      <c r="U13" s="180"/>
      <c r="V13" s="180"/>
      <c r="W13" s="180"/>
      <c r="X13" s="180"/>
      <c r="Y13" s="172" t="s">
        <v>222</v>
      </c>
    </row>
    <row r="14" spans="1:28" ht="33.75" customHeight="1" x14ac:dyDescent="0.35">
      <c r="A14" s="742">
        <v>7</v>
      </c>
      <c r="B14" s="742">
        <v>5</v>
      </c>
      <c r="C14" s="742">
        <f>C6</f>
        <v>0.6</v>
      </c>
      <c r="D14" s="852">
        <f>(F14-F13)/C14/60</f>
        <v>1.1111111111111112</v>
      </c>
      <c r="E14" s="789">
        <f>E13+B14+D14</f>
        <v>48.833333333333336</v>
      </c>
      <c r="F14" s="879">
        <f>G20-G14+F20</f>
        <v>482</v>
      </c>
      <c r="G14" s="742">
        <v>1220</v>
      </c>
      <c r="H14" s="742"/>
      <c r="I14" s="742" t="s">
        <v>23</v>
      </c>
      <c r="J14" s="312" t="s">
        <v>150</v>
      </c>
      <c r="K14" s="175" t="s">
        <v>218</v>
      </c>
      <c r="L14" s="337">
        <v>3.1642999999999999</v>
      </c>
      <c r="M14" s="175">
        <v>3.1644999999999999</v>
      </c>
      <c r="N14" s="288">
        <v>3.6966999999999999</v>
      </c>
      <c r="O14" s="325">
        <f t="shared" si="0"/>
        <v>532.20000000000005</v>
      </c>
      <c r="P14" s="876"/>
      <c r="Q14" s="181"/>
      <c r="R14" s="181"/>
      <c r="S14" s="181"/>
      <c r="T14" s="181"/>
      <c r="U14" s="340" t="s">
        <v>54</v>
      </c>
      <c r="V14" s="340"/>
      <c r="W14" s="340" t="s">
        <v>54</v>
      </c>
      <c r="X14" s="289" t="s">
        <v>54</v>
      </c>
      <c r="Y14" s="859"/>
    </row>
    <row r="15" spans="1:28" ht="39.75" customHeight="1" x14ac:dyDescent="0.35">
      <c r="A15" s="742"/>
      <c r="B15" s="742"/>
      <c r="C15" s="742"/>
      <c r="D15" s="852"/>
      <c r="E15" s="789"/>
      <c r="F15" s="791"/>
      <c r="G15" s="742"/>
      <c r="H15" s="742"/>
      <c r="I15" s="742"/>
      <c r="J15" s="313" t="s">
        <v>151</v>
      </c>
      <c r="K15" s="176" t="s">
        <v>214</v>
      </c>
      <c r="L15" s="334">
        <v>4.5743999999999998</v>
      </c>
      <c r="M15" s="176">
        <v>4.5750999999999999</v>
      </c>
      <c r="N15" s="287">
        <v>4.9314</v>
      </c>
      <c r="O15" s="331">
        <f t="shared" si="0"/>
        <v>356.30000000000007</v>
      </c>
      <c r="P15" s="876"/>
      <c r="Q15" s="183"/>
      <c r="R15" s="183"/>
      <c r="S15" s="183"/>
      <c r="T15" s="183"/>
      <c r="U15" s="183"/>
      <c r="V15" s="183" t="s">
        <v>54</v>
      </c>
      <c r="W15" s="183"/>
      <c r="X15" s="183"/>
      <c r="Y15" s="859"/>
    </row>
    <row r="16" spans="1:28" ht="38.9" customHeight="1" thickBot="1" x14ac:dyDescent="0.4">
      <c r="A16" s="743"/>
      <c r="B16" s="743"/>
      <c r="C16" s="743"/>
      <c r="D16" s="853"/>
      <c r="E16" s="790"/>
      <c r="F16" s="792"/>
      <c r="G16" s="743"/>
      <c r="H16" s="743"/>
      <c r="I16" s="743"/>
      <c r="J16" s="314" t="s">
        <v>179</v>
      </c>
      <c r="K16" s="314"/>
      <c r="L16" s="335">
        <v>7.5811000000000002</v>
      </c>
      <c r="M16" s="174">
        <v>7.5819999999999999</v>
      </c>
      <c r="N16" s="299">
        <v>8.468</v>
      </c>
      <c r="O16" s="328">
        <f t="shared" si="0"/>
        <v>886.00000000000011</v>
      </c>
      <c r="P16" s="877"/>
      <c r="Q16" s="180"/>
      <c r="R16" s="180"/>
      <c r="S16" s="180"/>
      <c r="T16" s="180"/>
      <c r="U16" s="180"/>
      <c r="V16" s="180"/>
      <c r="W16" s="180"/>
      <c r="X16" s="180"/>
      <c r="Y16" s="860"/>
    </row>
    <row r="17" spans="1:27" ht="43.5" customHeight="1" thickBot="1" x14ac:dyDescent="0.4">
      <c r="A17" s="307">
        <v>8</v>
      </c>
      <c r="B17" s="307">
        <v>5</v>
      </c>
      <c r="C17" s="307">
        <f t="shared" si="1"/>
        <v>0.6</v>
      </c>
      <c r="D17" s="309">
        <f t="shared" ref="D17:D22" si="3">(F17-F16)/C17/60</f>
        <v>13.944444444444446</v>
      </c>
      <c r="E17" s="309">
        <f>B17+D17+E14</f>
        <v>67.777777777777786</v>
      </c>
      <c r="F17" s="229">
        <f>G18-G17+F18</f>
        <v>502</v>
      </c>
      <c r="G17" s="316">
        <v>1200</v>
      </c>
      <c r="H17" s="307"/>
      <c r="I17" s="307" t="s">
        <v>69</v>
      </c>
      <c r="J17" s="307" t="s">
        <v>135</v>
      </c>
      <c r="K17" s="307" t="s">
        <v>217</v>
      </c>
      <c r="L17" s="336">
        <v>4.7138999999999998</v>
      </c>
      <c r="M17" s="177">
        <v>4.7519999999999998</v>
      </c>
      <c r="N17" s="300">
        <v>5.2553000000000001</v>
      </c>
      <c r="O17" s="325">
        <f t="shared" si="0"/>
        <v>503.3000000000003</v>
      </c>
      <c r="P17" s="320" t="s">
        <v>140</v>
      </c>
      <c r="Q17" s="185" t="s">
        <v>54</v>
      </c>
      <c r="R17" s="180"/>
      <c r="S17" s="180"/>
      <c r="T17" s="180"/>
      <c r="U17" s="180"/>
      <c r="V17" s="180"/>
      <c r="W17" s="180"/>
      <c r="X17" s="188"/>
      <c r="Y17" s="172"/>
    </row>
    <row r="18" spans="1:27" ht="41.15" customHeight="1" thickBot="1" x14ac:dyDescent="0.4">
      <c r="A18" s="307">
        <v>9</v>
      </c>
      <c r="B18" s="307">
        <v>5</v>
      </c>
      <c r="C18" s="307">
        <f t="shared" si="1"/>
        <v>0.6</v>
      </c>
      <c r="D18" s="309">
        <f t="shared" si="3"/>
        <v>0.55555555555555558</v>
      </c>
      <c r="E18" s="309">
        <f>B18+D18+E17</f>
        <v>73.333333333333343</v>
      </c>
      <c r="F18" s="229">
        <f>G13-G18+F13</f>
        <v>522</v>
      </c>
      <c r="G18" s="316">
        <v>1180</v>
      </c>
      <c r="H18" s="307"/>
      <c r="I18" s="310" t="s">
        <v>68</v>
      </c>
      <c r="J18" s="307" t="s">
        <v>134</v>
      </c>
      <c r="K18" s="307" t="s">
        <v>213</v>
      </c>
      <c r="L18" s="336">
        <v>177.27</v>
      </c>
      <c r="M18" s="177">
        <v>177.27199999999999</v>
      </c>
      <c r="N18" s="300">
        <v>177.90199999999999</v>
      </c>
      <c r="O18" s="325">
        <f t="shared" si="0"/>
        <v>629.99999999999545</v>
      </c>
      <c r="P18" s="320"/>
      <c r="Q18" s="180"/>
      <c r="R18" s="180"/>
      <c r="S18" s="180"/>
      <c r="T18" s="180"/>
      <c r="U18" s="180" t="s">
        <v>54</v>
      </c>
      <c r="V18" s="180"/>
      <c r="W18" s="180" t="s">
        <v>54</v>
      </c>
      <c r="X18" s="185" t="s">
        <v>54</v>
      </c>
      <c r="Y18" s="172"/>
    </row>
    <row r="19" spans="1:27" ht="48" customHeight="1" thickBot="1" x14ac:dyDescent="0.4">
      <c r="A19" s="307">
        <v>10</v>
      </c>
      <c r="B19" s="307">
        <v>5</v>
      </c>
      <c r="C19" s="307">
        <f t="shared" si="1"/>
        <v>0.6</v>
      </c>
      <c r="D19" s="309">
        <f t="shared" si="3"/>
        <v>0.55555555555555558</v>
      </c>
      <c r="E19" s="309">
        <f>B19+D19+E18</f>
        <v>78.8888888888889</v>
      </c>
      <c r="F19" s="229">
        <f>G17-G19+F17</f>
        <v>542</v>
      </c>
      <c r="G19" s="316">
        <v>1160</v>
      </c>
      <c r="H19" s="307"/>
      <c r="I19" s="307" t="s">
        <v>19</v>
      </c>
      <c r="J19" s="307" t="s">
        <v>126</v>
      </c>
      <c r="K19" s="307" t="s">
        <v>217</v>
      </c>
      <c r="L19" s="336">
        <v>26.023</v>
      </c>
      <c r="M19" s="177">
        <v>26.02</v>
      </c>
      <c r="N19" s="300">
        <v>26.599</v>
      </c>
      <c r="O19" s="325">
        <f t="shared" si="0"/>
        <v>579.00000000000068</v>
      </c>
      <c r="P19" s="320" t="s">
        <v>140</v>
      </c>
      <c r="Q19" s="185" t="s">
        <v>54</v>
      </c>
      <c r="R19" s="185"/>
      <c r="S19" s="185"/>
      <c r="T19" s="185"/>
      <c r="U19" s="185"/>
      <c r="V19" s="185"/>
      <c r="W19" s="185"/>
      <c r="X19" s="185"/>
      <c r="Y19" s="172"/>
    </row>
    <row r="20" spans="1:27" ht="44.9" customHeight="1" thickBot="1" x14ac:dyDescent="0.4">
      <c r="A20" s="313">
        <v>11</v>
      </c>
      <c r="B20" s="313">
        <v>5</v>
      </c>
      <c r="C20" s="313">
        <v>0.6</v>
      </c>
      <c r="D20" s="309">
        <f t="shared" si="3"/>
        <v>0.55555555555555558</v>
      </c>
      <c r="E20" s="309">
        <f>B20+D20+E19</f>
        <v>84.444444444444457</v>
      </c>
      <c r="F20" s="229">
        <f t="shared" si="2"/>
        <v>562</v>
      </c>
      <c r="G20" s="316">
        <v>1140</v>
      </c>
      <c r="H20" s="314"/>
      <c r="I20" s="38" t="s">
        <v>71</v>
      </c>
      <c r="J20" s="314" t="s">
        <v>131</v>
      </c>
      <c r="K20" s="314" t="s">
        <v>213</v>
      </c>
      <c r="L20" s="336">
        <v>68.736000000000004</v>
      </c>
      <c r="M20" s="174">
        <v>68.740099999999998</v>
      </c>
      <c r="N20" s="300">
        <v>69.463999999999999</v>
      </c>
      <c r="O20" s="325">
        <f t="shared" si="0"/>
        <v>723.90000000000043</v>
      </c>
      <c r="P20" s="320"/>
      <c r="Q20" s="185"/>
      <c r="R20" s="180"/>
      <c r="S20" s="180"/>
      <c r="T20" s="180"/>
      <c r="U20" s="340" t="s">
        <v>54</v>
      </c>
      <c r="V20" s="340"/>
      <c r="W20" s="340" t="s">
        <v>54</v>
      </c>
      <c r="X20" s="289" t="s">
        <v>54</v>
      </c>
      <c r="Y20" s="171"/>
    </row>
    <row r="21" spans="1:27" ht="47.15" customHeight="1" thickBot="1" x14ac:dyDescent="0.4">
      <c r="A21" s="319">
        <v>12</v>
      </c>
      <c r="B21" s="319">
        <v>5</v>
      </c>
      <c r="C21" s="319">
        <v>0.6</v>
      </c>
      <c r="D21" s="309">
        <f t="shared" si="3"/>
        <v>12.222222222222223</v>
      </c>
      <c r="E21" s="309">
        <f>B21+D21+E20</f>
        <v>101.66666666666669</v>
      </c>
      <c r="F21" s="229">
        <f>G14-G21+F14</f>
        <v>1002</v>
      </c>
      <c r="G21" s="319">
        <v>700</v>
      </c>
      <c r="H21" s="319"/>
      <c r="I21" s="319" t="s">
        <v>67</v>
      </c>
      <c r="J21" s="319" t="s">
        <v>133</v>
      </c>
      <c r="K21" s="319" t="s">
        <v>217</v>
      </c>
      <c r="L21" s="338">
        <v>74.872</v>
      </c>
      <c r="M21" s="178">
        <v>74.873999999999995</v>
      </c>
      <c r="N21" s="302">
        <v>75.406000000000006</v>
      </c>
      <c r="O21" s="332">
        <f t="shared" si="0"/>
        <v>532.00000000001069</v>
      </c>
      <c r="P21" s="320" t="s">
        <v>140</v>
      </c>
      <c r="Q21" s="185" t="s">
        <v>54</v>
      </c>
      <c r="R21" s="188"/>
      <c r="S21" s="188"/>
      <c r="T21" s="188"/>
      <c r="U21" s="188"/>
      <c r="V21" s="188"/>
      <c r="W21" s="188"/>
      <c r="X21" s="188"/>
      <c r="Y21" s="304"/>
    </row>
    <row r="22" spans="1:27" ht="44.9" customHeight="1" thickBot="1" x14ac:dyDescent="0.4">
      <c r="A22" s="307">
        <v>13</v>
      </c>
      <c r="B22" s="307">
        <v>5</v>
      </c>
      <c r="C22" s="307">
        <f t="shared" si="1"/>
        <v>0.6</v>
      </c>
      <c r="D22" s="309">
        <f t="shared" si="3"/>
        <v>13.888888888888889</v>
      </c>
      <c r="E22" s="309">
        <f>B22+D22+E21</f>
        <v>120.55555555555557</v>
      </c>
      <c r="F22" s="229">
        <f>G9-G22+F9</f>
        <v>1502</v>
      </c>
      <c r="G22" s="316">
        <v>200</v>
      </c>
      <c r="H22" s="307"/>
      <c r="I22" s="307" t="s">
        <v>70</v>
      </c>
      <c r="J22" s="307" t="s">
        <v>130</v>
      </c>
      <c r="K22" s="307" t="s">
        <v>219</v>
      </c>
      <c r="L22" s="336">
        <v>8.2680000000000007</v>
      </c>
      <c r="M22" s="177">
        <v>8.2720000000000002</v>
      </c>
      <c r="N22" s="300">
        <v>8.9030000000000005</v>
      </c>
      <c r="O22" s="329">
        <f t="shared" si="0"/>
        <v>631.00000000000023</v>
      </c>
      <c r="P22" s="320"/>
      <c r="Q22" s="180"/>
      <c r="R22" s="180"/>
      <c r="S22" s="180"/>
      <c r="T22" s="180"/>
      <c r="U22" s="180" t="s">
        <v>54</v>
      </c>
      <c r="V22" s="180"/>
      <c r="W22" s="180" t="s">
        <v>54</v>
      </c>
      <c r="X22" s="185" t="s">
        <v>54</v>
      </c>
      <c r="Y22" s="172"/>
    </row>
    <row r="23" spans="1:27" ht="40.5" thickBot="1" x14ac:dyDescent="0.6">
      <c r="A23" s="24" t="s">
        <v>10</v>
      </c>
      <c r="B23" s="312">
        <f>SUM(B6:B22)</f>
        <v>65</v>
      </c>
      <c r="C23" s="312"/>
      <c r="D23" s="318">
        <f>SUM(D6:D22)</f>
        <v>55.555555555555557</v>
      </c>
      <c r="E23" s="318">
        <f>D23+B23</f>
        <v>120.55555555555556</v>
      </c>
      <c r="F23" s="144">
        <f>G6</f>
        <v>1710</v>
      </c>
      <c r="G23" s="827" t="s">
        <v>18</v>
      </c>
      <c r="H23" s="856"/>
      <c r="I23" s="856"/>
      <c r="J23" s="9"/>
      <c r="K23" s="145" t="s">
        <v>103</v>
      </c>
      <c r="L23" s="838" t="s">
        <v>102</v>
      </c>
      <c r="M23" s="838"/>
      <c r="N23" s="252" t="s">
        <v>53</v>
      </c>
      <c r="O23" s="22"/>
    </row>
    <row r="24" spans="1:27" ht="46" x14ac:dyDescent="0.35">
      <c r="A24" s="26" t="s">
        <v>12</v>
      </c>
      <c r="B24" s="313">
        <f>B23/60</f>
        <v>1.0833333333333333</v>
      </c>
      <c r="C24" s="313"/>
      <c r="D24" s="317" t="s">
        <v>14</v>
      </c>
      <c r="E24" s="317"/>
      <c r="F24" s="253"/>
      <c r="J24" s="95" t="s">
        <v>145</v>
      </c>
      <c r="K24" s="30">
        <v>44225</v>
      </c>
      <c r="L24" s="829">
        <v>0.875</v>
      </c>
      <c r="M24" s="841"/>
      <c r="N24" s="327">
        <v>0.75</v>
      </c>
      <c r="O24" s="22"/>
      <c r="AA24">
        <v>1</v>
      </c>
    </row>
    <row r="25" spans="1:27" ht="46" x14ac:dyDescent="0.35">
      <c r="J25" s="96" t="s">
        <v>45</v>
      </c>
      <c r="K25" s="30">
        <v>44225</v>
      </c>
      <c r="L25" s="762">
        <v>0.97916666666666663</v>
      </c>
      <c r="M25" s="763"/>
      <c r="N25" s="330">
        <v>0.85416666666666663</v>
      </c>
      <c r="O25" s="22"/>
    </row>
    <row r="26" spans="1:27" ht="46" x14ac:dyDescent="0.35">
      <c r="A26" s="1"/>
      <c r="B26" s="1"/>
      <c r="C26" s="1"/>
      <c r="D26" s="1"/>
      <c r="E26" s="1"/>
      <c r="F26" s="1"/>
      <c r="G26" s="1"/>
      <c r="J26" s="96" t="s">
        <v>46</v>
      </c>
      <c r="K26" s="30">
        <v>44226</v>
      </c>
      <c r="L26" s="762">
        <v>6.25E-2</v>
      </c>
      <c r="M26" s="766"/>
      <c r="N26" s="341">
        <v>0.9375</v>
      </c>
      <c r="O26" s="22"/>
    </row>
    <row r="27" spans="1:27" ht="46" x14ac:dyDescent="0.35">
      <c r="A27" s="857" t="s">
        <v>52</v>
      </c>
      <c r="B27" s="857"/>
      <c r="C27" s="857"/>
      <c r="D27" s="857"/>
      <c r="E27" s="857"/>
      <c r="F27" s="857"/>
      <c r="J27" s="96" t="s">
        <v>47</v>
      </c>
      <c r="K27" s="30">
        <v>44226</v>
      </c>
      <c r="L27" s="762">
        <v>0.13541666666666666</v>
      </c>
      <c r="M27" s="766"/>
      <c r="N27" s="330">
        <v>1.0416666666666666E-2</v>
      </c>
      <c r="O27" s="22"/>
    </row>
    <row r="28" spans="1:27" ht="20" x14ac:dyDescent="0.4">
      <c r="A28" s="17" t="s">
        <v>51</v>
      </c>
      <c r="B28" s="17"/>
      <c r="C28" s="17"/>
      <c r="F28" s="9">
        <v>8</v>
      </c>
      <c r="G28" s="20" t="s">
        <v>11</v>
      </c>
      <c r="J28" s="17"/>
      <c r="K28" s="19"/>
      <c r="O28" s="22"/>
    </row>
    <row r="29" spans="1:27" ht="60" x14ac:dyDescent="0.6">
      <c r="A29" s="120" t="s">
        <v>168</v>
      </c>
      <c r="F29" s="145">
        <v>5</v>
      </c>
      <c r="G29" s="17" t="s">
        <v>169</v>
      </c>
      <c r="J29" s="10" t="s">
        <v>50</v>
      </c>
      <c r="K29" s="31">
        <f>E22+F29</f>
        <v>125.55555555555557</v>
      </c>
      <c r="O29" s="22"/>
    </row>
    <row r="30" spans="1:27" ht="60" x14ac:dyDescent="0.7">
      <c r="A30" s="146" t="s">
        <v>221</v>
      </c>
      <c r="F30" s="17"/>
      <c r="G30" s="17"/>
      <c r="H30" s="17"/>
      <c r="I30" s="15"/>
      <c r="J30" s="10" t="s">
        <v>49</v>
      </c>
      <c r="K30" s="31">
        <f>D23+5*A22+F29</f>
        <v>125.55555555555556</v>
      </c>
      <c r="O30" s="22"/>
    </row>
    <row r="31" spans="1:27" ht="29.5" x14ac:dyDescent="0.55000000000000004">
      <c r="A31" s="147"/>
      <c r="B31" s="20"/>
      <c r="C31" s="17"/>
      <c r="I31" s="9"/>
      <c r="J31" s="1"/>
      <c r="K31" s="1"/>
      <c r="L31" s="1"/>
      <c r="M31" s="2"/>
    </row>
    <row r="32" spans="1:27" ht="20" x14ac:dyDescent="0.4">
      <c r="C32" s="17"/>
      <c r="D32" s="17"/>
      <c r="E32" s="17" t="s">
        <v>14</v>
      </c>
      <c r="F32" s="17"/>
      <c r="I32" s="15"/>
      <c r="J32" s="1"/>
      <c r="K32" s="1"/>
      <c r="L32" s="1"/>
      <c r="M32" s="2"/>
    </row>
    <row r="33" spans="1:15" ht="20" x14ac:dyDescent="0.4">
      <c r="A33" s="19"/>
      <c r="B33" s="20"/>
      <c r="C33" s="17"/>
      <c r="D33" s="17"/>
      <c r="E33" s="23"/>
      <c r="F33" s="17"/>
      <c r="G33" s="17"/>
      <c r="H33" s="17"/>
      <c r="I33" s="15"/>
      <c r="J33" s="1"/>
      <c r="K33" s="1"/>
      <c r="L33" s="1"/>
      <c r="M33" s="2"/>
      <c r="N33" s="2"/>
      <c r="O33" s="2"/>
    </row>
    <row r="34" spans="1:15" ht="20" x14ac:dyDescent="0.4">
      <c r="A34" s="19"/>
      <c r="B34" s="20"/>
      <c r="C34" s="17"/>
      <c r="D34" s="17"/>
      <c r="E34" s="17"/>
      <c r="F34" s="17"/>
      <c r="G34" s="17"/>
      <c r="H34" s="17"/>
      <c r="I34" s="15"/>
      <c r="J34" s="1"/>
      <c r="K34" s="1"/>
      <c r="L34" s="1"/>
      <c r="M34" s="2"/>
    </row>
    <row r="35" spans="1:15" ht="18.5" x14ac:dyDescent="0.45">
      <c r="A35" s="16"/>
      <c r="B35" s="16"/>
      <c r="C35" s="16"/>
      <c r="D35" s="16"/>
      <c r="E35" s="16"/>
      <c r="F35" s="16"/>
      <c r="G35" s="16"/>
      <c r="H35" s="16"/>
      <c r="I35" s="16"/>
    </row>
    <row r="89" spans="13:13" x14ac:dyDescent="0.35">
      <c r="M89" t="s">
        <v>14</v>
      </c>
    </row>
  </sheetData>
  <mergeCells count="33">
    <mergeCell ref="A27:F27"/>
    <mergeCell ref="L27:M27"/>
    <mergeCell ref="F14:F16"/>
    <mergeCell ref="G14:G16"/>
    <mergeCell ref="H14:H16"/>
    <mergeCell ref="I14:I16"/>
    <mergeCell ref="A14:A16"/>
    <mergeCell ref="B14:B16"/>
    <mergeCell ref="C14:C16"/>
    <mergeCell ref="D14:D16"/>
    <mergeCell ref="E14:E16"/>
    <mergeCell ref="G23:I23"/>
    <mergeCell ref="L23:M23"/>
    <mergeCell ref="L24:M24"/>
    <mergeCell ref="L25:M25"/>
    <mergeCell ref="L26:M26"/>
    <mergeCell ref="P14:P16"/>
    <mergeCell ref="Y14:Y16"/>
    <mergeCell ref="G6:G8"/>
    <mergeCell ref="H6:H8"/>
    <mergeCell ref="I6:I8"/>
    <mergeCell ref="P6:P8"/>
    <mergeCell ref="Y6:Y8"/>
    <mergeCell ref="M3:O3"/>
    <mergeCell ref="Q4:S4"/>
    <mergeCell ref="T4:W4"/>
    <mergeCell ref="L5:M5"/>
    <mergeCell ref="A6:A8"/>
    <mergeCell ref="B6:B8"/>
    <mergeCell ref="C6:C8"/>
    <mergeCell ref="D6:D8"/>
    <mergeCell ref="E6:E8"/>
    <mergeCell ref="F6:F8"/>
  </mergeCells>
  <pageMargins left="0.7" right="0.7" top="0.75" bottom="0.75" header="0.3" footer="0.3"/>
  <pageSetup paperSize="9"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Listing Pumps-FH</vt:lpstr>
      <vt:lpstr>SWG-01-003-P</vt:lpstr>
      <vt:lpstr>SWG-03-009-P</vt:lpstr>
      <vt:lpstr>SWG-03-013-P</vt:lpstr>
      <vt:lpstr>SWG-04-016-P</vt:lpstr>
      <vt:lpstr>SWG-11-030-P</vt:lpstr>
      <vt:lpstr>SWG-11-035-P</vt:lpstr>
      <vt:lpstr>SWG-14-043-P</vt:lpstr>
      <vt:lpstr>SWG-15-045-P</vt:lpstr>
      <vt:lpstr>SWG-21-056-P</vt:lpstr>
      <vt:lpstr>SWG-25-066-P</vt:lpstr>
      <vt:lpstr>SWG-25-070-P</vt:lpstr>
      <vt:lpstr>SWG-31-081</vt:lpstr>
      <vt:lpstr>SWG-33-086</vt:lpstr>
      <vt:lpstr>SWG-33-089</vt:lpstr>
      <vt:lpstr>SWG-36-096</vt:lpstr>
      <vt:lpstr>SWG-38-104</vt:lpstr>
      <vt:lpstr>SWG-42-113</vt:lpstr>
      <vt:lpstr>SWG-44-119</vt:lpstr>
      <vt:lpstr>SWG-47-129</vt:lpstr>
      <vt:lpstr>SWG-47-132</vt:lpstr>
      <vt:lpstr>SWG-58-145</vt:lpstr>
      <vt:lpstr>SWG-58-149</vt:lpstr>
      <vt:lpstr>SWG-68-171</vt:lpstr>
    </vt:vector>
  </TitlesOfParts>
  <Company>IUEM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planchon</dc:creator>
  <cp:lastModifiedBy>Windows User</cp:lastModifiedBy>
  <cp:lastPrinted>2021-03-01T11:21:21Z</cp:lastPrinted>
  <dcterms:created xsi:type="dcterms:W3CDTF">2021-01-14T13:42:08Z</dcterms:created>
  <dcterms:modified xsi:type="dcterms:W3CDTF">2021-03-02T13:47:42Z</dcterms:modified>
</cp:coreProperties>
</file>