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80" yWindow="-15" windowWidth="7710" windowHeight="7605" tabRatio="868" activeTab="2"/>
  </bookViews>
  <sheets>
    <sheet name="TrapsTable1-Deployments" sheetId="1" r:id="rId1"/>
    <sheet name="TrapsTable2-Fluxes" sheetId="2" r:id="rId2"/>
    <sheet name="TrapsTable3-Comparisons" sheetId="7" r:id="rId3"/>
    <sheet name="DatafromDiana" sheetId="3" r:id="rId4"/>
    <sheet name="DatafromPier" sheetId="4" r:id="rId5"/>
    <sheet name="DatafromFred" sheetId="5" r:id="rId6"/>
    <sheet name="DatafromStevo" sheetId="6" r:id="rId7"/>
  </sheets>
  <externalReferences>
    <externalReference r:id="rId8"/>
    <externalReference r:id="rId9"/>
  </externalReferences>
  <definedNames>
    <definedName name="_xlnm.Print_Area" localSheetId="0">'TrapsTable1-Deployments'!$A$1:$I$25</definedName>
    <definedName name="_xlnm.Print_Area" localSheetId="1">'TrapsTable2-Fluxes'!$A$1:$S$68</definedName>
  </definedNames>
  <calcPr calcId="145621"/>
</workbook>
</file>

<file path=xl/calcChain.xml><?xml version="1.0" encoding="utf-8"?>
<calcChain xmlns="http://schemas.openxmlformats.org/spreadsheetml/2006/main">
  <c r="H23" i="2" l="1"/>
  <c r="H24" i="2"/>
  <c r="Q22" i="2" s="1"/>
  <c r="H27" i="2"/>
  <c r="H28" i="2"/>
  <c r="H31" i="2"/>
  <c r="R31" i="2" s="1"/>
  <c r="H32" i="2"/>
  <c r="Q30" i="2" s="1"/>
  <c r="I23" i="2"/>
  <c r="I24" i="2"/>
  <c r="I27" i="2"/>
  <c r="I28" i="2"/>
  <c r="I31" i="2"/>
  <c r="I32" i="2"/>
  <c r="I33" i="2"/>
  <c r="I34" i="2" s="1"/>
  <c r="J23" i="2"/>
  <c r="J24" i="2"/>
  <c r="J27" i="2"/>
  <c r="J28" i="2"/>
  <c r="J31" i="2"/>
  <c r="J32" i="2"/>
  <c r="M23" i="2"/>
  <c r="M24" i="2"/>
  <c r="M27" i="2"/>
  <c r="R27" i="2" s="1"/>
  <c r="M28" i="2"/>
  <c r="M33" i="2" s="1"/>
  <c r="M31" i="2"/>
  <c r="M32" i="2"/>
  <c r="K23" i="2"/>
  <c r="K24" i="2"/>
  <c r="K33" i="2" s="1"/>
  <c r="K27" i="2"/>
  <c r="K28" i="2"/>
  <c r="K31" i="2"/>
  <c r="K32" i="2"/>
  <c r="P32" i="2" s="1"/>
  <c r="H54" i="2"/>
  <c r="H58" i="2"/>
  <c r="H62" i="2"/>
  <c r="L52" i="2"/>
  <c r="L56" i="2"/>
  <c r="L60" i="2"/>
  <c r="H39" i="2"/>
  <c r="H43" i="2"/>
  <c r="H46" i="2"/>
  <c r="N46" i="2" s="1"/>
  <c r="L36" i="2"/>
  <c r="L37" i="2"/>
  <c r="L40" i="2"/>
  <c r="L41" i="2"/>
  <c r="L44" i="2"/>
  <c r="L45" i="2"/>
  <c r="L48" i="2"/>
  <c r="L49" i="2" s="1"/>
  <c r="L21" i="2"/>
  <c r="L22" i="2"/>
  <c r="L25" i="2"/>
  <c r="L26" i="2"/>
  <c r="Q26" i="2" s="1"/>
  <c r="L29" i="2"/>
  <c r="L30" i="2"/>
  <c r="H8" i="2"/>
  <c r="H9" i="2"/>
  <c r="H12" i="2"/>
  <c r="H13" i="2"/>
  <c r="Q11" i="2" s="1"/>
  <c r="H15" i="2"/>
  <c r="L6" i="2"/>
  <c r="L7" i="2"/>
  <c r="Q7" i="2" s="1"/>
  <c r="L10" i="2"/>
  <c r="L11" i="2"/>
  <c r="L14" i="2"/>
  <c r="L18" i="2"/>
  <c r="G24" i="2"/>
  <c r="G27" i="2"/>
  <c r="G28" i="2"/>
  <c r="G31" i="2"/>
  <c r="G32" i="2"/>
  <c r="G23" i="2"/>
  <c r="V12" i="2"/>
  <c r="M8" i="2"/>
  <c r="M9" i="2"/>
  <c r="M12" i="2"/>
  <c r="M18" i="2" s="1"/>
  <c r="M19" i="2" s="1"/>
  <c r="K6" i="7" s="1"/>
  <c r="M13" i="2"/>
  <c r="M15" i="2"/>
  <c r="G8" i="2"/>
  <c r="S8" i="2" s="1"/>
  <c r="G9" i="2"/>
  <c r="G12" i="2"/>
  <c r="G13" i="2"/>
  <c r="G15" i="2"/>
  <c r="S15" i="2" s="1"/>
  <c r="J8" i="2"/>
  <c r="J9" i="2"/>
  <c r="J12" i="2"/>
  <c r="J13" i="2"/>
  <c r="J15" i="2"/>
  <c r="O15" i="2" s="1"/>
  <c r="K8" i="2"/>
  <c r="P8" i="2" s="1"/>
  <c r="K12" i="2"/>
  <c r="K13" i="2"/>
  <c r="K18" i="2" s="1"/>
  <c r="F6" i="7" s="1"/>
  <c r="K15" i="2"/>
  <c r="K9" i="2"/>
  <c r="P9" i="2" s="1"/>
  <c r="I8" i="2"/>
  <c r="I9" i="2"/>
  <c r="I18" i="2" s="1"/>
  <c r="I19" i="2" s="1"/>
  <c r="I12" i="2"/>
  <c r="I13" i="2"/>
  <c r="I15" i="2"/>
  <c r="G62" i="2"/>
  <c r="S62" i="2"/>
  <c r="G58" i="2"/>
  <c r="G54" i="2"/>
  <c r="S54" i="2"/>
  <c r="G63" i="2"/>
  <c r="G64" i="2" s="1"/>
  <c r="M54" i="2"/>
  <c r="M58" i="2"/>
  <c r="M63" i="2" s="1"/>
  <c r="M62" i="2"/>
  <c r="K54" i="2"/>
  <c r="K58" i="2"/>
  <c r="K62" i="2"/>
  <c r="I54" i="2"/>
  <c r="I58" i="2"/>
  <c r="I62" i="2"/>
  <c r="G39" i="2"/>
  <c r="G43" i="2"/>
  <c r="G46" i="2"/>
  <c r="M39" i="2"/>
  <c r="M43" i="2"/>
  <c r="M46" i="2"/>
  <c r="M48" i="2"/>
  <c r="K39" i="2"/>
  <c r="K43" i="2"/>
  <c r="K46" i="2"/>
  <c r="I39" i="2"/>
  <c r="I43" i="2"/>
  <c r="I46" i="2"/>
  <c r="I48" i="2"/>
  <c r="J6" i="7"/>
  <c r="K17" i="2"/>
  <c r="J62" i="2"/>
  <c r="J58" i="2"/>
  <c r="J54" i="2"/>
  <c r="J46" i="2"/>
  <c r="J48" i="2" s="1"/>
  <c r="J43" i="2"/>
  <c r="J39" i="2"/>
  <c r="Y9" i="7"/>
  <c r="Y8" i="7"/>
  <c r="Y7" i="7"/>
  <c r="Y6" i="7"/>
  <c r="D8" i="7"/>
  <c r="H8" i="7"/>
  <c r="O43" i="2"/>
  <c r="R39" i="2"/>
  <c r="R46" i="2"/>
  <c r="P46" i="2"/>
  <c r="Q52" i="2"/>
  <c r="P54" i="2"/>
  <c r="Q56" i="2"/>
  <c r="Q60" i="2"/>
  <c r="R62" i="2"/>
  <c r="P62" i="2"/>
  <c r="O62" i="2"/>
  <c r="S46" i="2"/>
  <c r="I8" i="7"/>
  <c r="I49" i="2"/>
  <c r="I17" i="2"/>
  <c r="H17" i="2"/>
  <c r="R9" i="2"/>
  <c r="O9" i="2"/>
  <c r="P13" i="2"/>
  <c r="O13" i="2"/>
  <c r="R32" i="2"/>
  <c r="O32" i="2"/>
  <c r="R28" i="2"/>
  <c r="P28" i="2"/>
  <c r="O28" i="2"/>
  <c r="R24" i="2"/>
  <c r="P24" i="2"/>
  <c r="O24" i="2"/>
  <c r="Q6" i="2"/>
  <c r="Q19" i="2" s="1"/>
  <c r="M6" i="7" s="1"/>
  <c r="R8" i="2"/>
  <c r="Q10" i="2"/>
  <c r="P12" i="2"/>
  <c r="Q14" i="2"/>
  <c r="R15" i="2"/>
  <c r="P15" i="2"/>
  <c r="Q21" i="2"/>
  <c r="Q34" i="2" s="1"/>
  <c r="M7" i="7" s="1"/>
  <c r="P23" i="2"/>
  <c r="O23" i="2"/>
  <c r="Q29" i="2"/>
  <c r="P31" i="2"/>
  <c r="O31" i="2"/>
  <c r="Q25" i="2"/>
  <c r="P27" i="2"/>
  <c r="O27" i="2"/>
  <c r="S9" i="2"/>
  <c r="S12" i="2"/>
  <c r="N23" i="2"/>
  <c r="N13" i="2"/>
  <c r="S13" i="2"/>
  <c r="N32" i="2"/>
  <c r="N28" i="2"/>
  <c r="S28" i="2"/>
  <c r="N24" i="2"/>
  <c r="N8" i="2"/>
  <c r="N15" i="2"/>
  <c r="N31" i="2"/>
  <c r="S31" i="2"/>
  <c r="N27" i="2"/>
  <c r="S27" i="2"/>
  <c r="N12" i="2"/>
  <c r="N39" i="2"/>
  <c r="N62" i="2"/>
  <c r="N54" i="2"/>
  <c r="X6" i="7"/>
  <c r="A52" i="2"/>
  <c r="A53" i="2" s="1"/>
  <c r="A54" i="2" s="1"/>
  <c r="A55" i="2"/>
  <c r="A56" i="2"/>
  <c r="A57" i="2"/>
  <c r="A58" i="2" s="1"/>
  <c r="A59" i="2" s="1"/>
  <c r="A60" i="2" s="1"/>
  <c r="A61" i="2" s="1"/>
  <c r="A62" i="2" s="1"/>
  <c r="A37" i="2"/>
  <c r="A38" i="2" s="1"/>
  <c r="A39" i="2"/>
  <c r="A40" i="2" s="1"/>
  <c r="A41" i="2" s="1"/>
  <c r="A42" i="2" s="1"/>
  <c r="A43" i="2" s="1"/>
  <c r="A44" i="2" s="1"/>
  <c r="A45" i="2" s="1"/>
  <c r="A46" i="2" s="1"/>
  <c r="A47" i="2" s="1"/>
  <c r="A22" i="2"/>
  <c r="A23" i="2"/>
  <c r="A24" i="2"/>
  <c r="A25" i="2" s="1"/>
  <c r="A26" i="2" s="1"/>
  <c r="A27" i="2" s="1"/>
  <c r="A28" i="2" s="1"/>
  <c r="A29" i="2" s="1"/>
  <c r="A30" i="2" s="1"/>
  <c r="A31" i="2" s="1"/>
  <c r="A32" i="2" s="1"/>
  <c r="A7" i="2"/>
  <c r="A8" i="2" s="1"/>
  <c r="A9" i="2"/>
  <c r="A10" i="2"/>
  <c r="A11" i="2" s="1"/>
  <c r="A12" i="2" s="1"/>
  <c r="A13" i="2"/>
  <c r="A14" i="2" s="1"/>
  <c r="A15" i="2" s="1"/>
  <c r="A16" i="2" s="1"/>
  <c r="A17" i="2" s="1"/>
  <c r="H22" i="1"/>
  <c r="H20" i="1"/>
  <c r="H18" i="1"/>
  <c r="H16" i="1"/>
  <c r="H14" i="1"/>
  <c r="H12" i="1"/>
  <c r="H10" i="1"/>
  <c r="H8" i="1"/>
  <c r="H6" i="1"/>
  <c r="J63" i="2" l="1"/>
  <c r="D9" i="7" s="1"/>
  <c r="J64" i="2"/>
  <c r="E9" i="7" s="1"/>
  <c r="G48" i="2"/>
  <c r="G49" i="2"/>
  <c r="J18" i="2"/>
  <c r="D6" i="7" s="1"/>
  <c r="J19" i="2"/>
  <c r="E6" i="7" s="1"/>
  <c r="N9" i="2"/>
  <c r="N17" i="2"/>
  <c r="P17" i="2"/>
  <c r="J8" i="7"/>
  <c r="M49" i="2"/>
  <c r="K8" i="7" s="1"/>
  <c r="S19" i="2"/>
  <c r="R6" i="7" s="1"/>
  <c r="Q41" i="2"/>
  <c r="R43" i="2"/>
  <c r="R49" i="2" s="1"/>
  <c r="N43" i="2"/>
  <c r="Q40" i="2"/>
  <c r="H48" i="2"/>
  <c r="S43" i="2"/>
  <c r="P43" i="2"/>
  <c r="K34" i="2"/>
  <c r="G7" i="7" s="1"/>
  <c r="F7" i="7"/>
  <c r="M34" i="2"/>
  <c r="K7" i="7" s="1"/>
  <c r="J7" i="7"/>
  <c r="N49" i="2"/>
  <c r="T8" i="7" s="1"/>
  <c r="M64" i="2"/>
  <c r="K9" i="7" s="1"/>
  <c r="J9" i="7"/>
  <c r="O34" i="2"/>
  <c r="V7" i="7" s="1"/>
  <c r="O8" i="2"/>
  <c r="Q64" i="2"/>
  <c r="M9" i="7" s="1"/>
  <c r="N19" i="2"/>
  <c r="T6" i="7" s="1"/>
  <c r="P34" i="2"/>
  <c r="X7" i="7" s="1"/>
  <c r="S39" i="2"/>
  <c r="R58" i="2"/>
  <c r="K19" i="2"/>
  <c r="G6" i="7" s="1"/>
  <c r="L19" i="2"/>
  <c r="I6" i="7" s="1"/>
  <c r="H6" i="7"/>
  <c r="R12" i="2"/>
  <c r="O12" i="2"/>
  <c r="O58" i="2"/>
  <c r="S58" i="2"/>
  <c r="S64" i="2" s="1"/>
  <c r="R9" i="7" s="1"/>
  <c r="P58" i="2"/>
  <c r="P64" i="2" s="1"/>
  <c r="X9" i="7" s="1"/>
  <c r="N58" i="2"/>
  <c r="N64" i="2" s="1"/>
  <c r="T9" i="7" s="1"/>
  <c r="J49" i="2"/>
  <c r="E8" i="7" s="1"/>
  <c r="K63" i="2"/>
  <c r="Q37" i="2"/>
  <c r="H63" i="2"/>
  <c r="O54" i="2"/>
  <c r="O64" i="2" s="1"/>
  <c r="V9" i="7" s="1"/>
  <c r="N34" i="2"/>
  <c r="T7" i="7" s="1"/>
  <c r="R13" i="2"/>
  <c r="R19" i="2" s="1"/>
  <c r="R54" i="2"/>
  <c r="O39" i="2"/>
  <c r="I63" i="2"/>
  <c r="I64" i="2" s="1"/>
  <c r="H18" i="2"/>
  <c r="L33" i="2"/>
  <c r="H64" i="2"/>
  <c r="C9" i="7" s="1"/>
  <c r="L63" i="2"/>
  <c r="H9" i="7" s="1"/>
  <c r="L64" i="2"/>
  <c r="I9" i="7" s="1"/>
  <c r="K48" i="2"/>
  <c r="P39" i="2"/>
  <c r="P49" i="2" s="1"/>
  <c r="X8" i="7" s="1"/>
  <c r="G18" i="2"/>
  <c r="G19" i="2" s="1"/>
  <c r="O46" i="2"/>
  <c r="Q45" i="2"/>
  <c r="Q44" i="2"/>
  <c r="J33" i="2"/>
  <c r="D7" i="7" s="1"/>
  <c r="G33" i="2"/>
  <c r="G34" i="2" s="1"/>
  <c r="H33" i="2"/>
  <c r="Q36" i="2"/>
  <c r="S24" i="2"/>
  <c r="S34" i="2" s="1"/>
  <c r="R7" i="7" s="1"/>
  <c r="S32" i="2"/>
  <c r="R23" i="2"/>
  <c r="R34" i="2" s="1"/>
  <c r="O49" i="2" l="1"/>
  <c r="V8" i="7" s="1"/>
  <c r="K64" i="2"/>
  <c r="G9" i="7" s="1"/>
  <c r="F9" i="7"/>
  <c r="F8" i="7"/>
  <c r="K49" i="2"/>
  <c r="G8" i="7" s="1"/>
  <c r="H7" i="7"/>
  <c r="L34" i="2"/>
  <c r="I7" i="7" s="1"/>
  <c r="R64" i="2"/>
  <c r="R63" i="2"/>
  <c r="O63" i="2"/>
  <c r="U9" i="7" s="1"/>
  <c r="B9" i="7"/>
  <c r="P9" i="7" s="1"/>
  <c r="Q63" i="2"/>
  <c r="L9" i="7" s="1"/>
  <c r="S63" i="2"/>
  <c r="Q9" i="7" s="1"/>
  <c r="P63" i="2"/>
  <c r="W9" i="7" s="1"/>
  <c r="N63" i="2"/>
  <c r="S9" i="7" s="1"/>
  <c r="O19" i="2"/>
  <c r="V6" i="7" s="1"/>
  <c r="H49" i="2"/>
  <c r="C8" i="7" s="1"/>
  <c r="P8" i="7" s="1"/>
  <c r="R48" i="2"/>
  <c r="Q48" i="2"/>
  <c r="L8" i="7" s="1"/>
  <c r="N48" i="2"/>
  <c r="S8" i="7" s="1"/>
  <c r="B8" i="7"/>
  <c r="O48" i="2"/>
  <c r="U8" i="7" s="1"/>
  <c r="S48" i="2"/>
  <c r="Q8" i="7" s="1"/>
  <c r="P48" i="2"/>
  <c r="W8" i="7" s="1"/>
  <c r="S33" i="2"/>
  <c r="Q7" i="7" s="1"/>
  <c r="O33" i="2"/>
  <c r="U7" i="7" s="1"/>
  <c r="N33" i="2"/>
  <c r="S7" i="7" s="1"/>
  <c r="P33" i="2"/>
  <c r="W7" i="7" s="1"/>
  <c r="R33" i="2"/>
  <c r="Q33" i="2"/>
  <c r="L7" i="7" s="1"/>
  <c r="B7" i="7"/>
  <c r="P7" i="7" s="1"/>
  <c r="H34" i="2"/>
  <c r="C7" i="7" s="1"/>
  <c r="H19" i="2"/>
  <c r="C6" i="7" s="1"/>
  <c r="P6" i="7" s="1"/>
  <c r="P18" i="2"/>
  <c r="W6" i="7" s="1"/>
  <c r="Q18" i="2"/>
  <c r="L6" i="7" s="1"/>
  <c r="O18" i="2"/>
  <c r="U6" i="7" s="1"/>
  <c r="N18" i="2"/>
  <c r="S6" i="7" s="1"/>
  <c r="S18" i="2"/>
  <c r="Q6" i="7" s="1"/>
  <c r="R18" i="2"/>
  <c r="B6" i="7"/>
  <c r="Q49" i="2"/>
  <c r="M8" i="7" s="1"/>
  <c r="S49" i="2"/>
  <c r="R8" i="7" s="1"/>
  <c r="J34" i="2"/>
  <c r="E7" i="7" s="1"/>
  <c r="O8" i="7" l="1"/>
  <c r="N8" i="7"/>
  <c r="O6" i="7"/>
  <c r="N6" i="7"/>
  <c r="O7" i="7"/>
  <c r="N7" i="7"/>
  <c r="N9" i="7"/>
  <c r="O9" i="7"/>
</calcChain>
</file>

<file path=xl/comments1.xml><?xml version="1.0" encoding="utf-8"?>
<comments xmlns="http://schemas.openxmlformats.org/spreadsheetml/2006/main">
  <authors>
    <author>tomt</author>
  </authors>
  <commentList>
    <comment ref="E8" authorId="0">
      <text>
        <r>
          <rPr>
            <b/>
            <sz val="8"/>
            <color indexed="81"/>
            <rFont val="Tahoma"/>
            <family val="2"/>
          </rPr>
          <t>tomt:</t>
        </r>
        <r>
          <rPr>
            <sz val="8"/>
            <color indexed="81"/>
            <rFont val="Tahoma"/>
            <family val="2"/>
          </rPr>
          <t xml:space="preserve">
Time needs to be checked</t>
        </r>
      </text>
    </comment>
  </commentList>
</comments>
</file>

<file path=xl/sharedStrings.xml><?xml version="1.0" encoding="utf-8"?>
<sst xmlns="http://schemas.openxmlformats.org/spreadsheetml/2006/main" count="706" uniqueCount="317">
  <si>
    <t xml:space="preserve">Table 1. Deployment schedules for the free-drifting sediment trap arrays </t>
  </si>
  <si>
    <t>Site - visit</t>
  </si>
  <si>
    <t>Array</t>
  </si>
  <si>
    <t>Trap Depths (m)</t>
  </si>
  <si>
    <t>Event</t>
  </si>
  <si>
    <t>Time (UTC)</t>
  </si>
  <si>
    <t>Latitude</t>
  </si>
  <si>
    <t>Longitude</t>
  </si>
  <si>
    <t>Duration (d)</t>
  </si>
  <si>
    <t>Drift (km)</t>
  </si>
  <si>
    <t>R-1</t>
  </si>
  <si>
    <t>P trap</t>
  </si>
  <si>
    <t>Deploy</t>
  </si>
  <si>
    <t>50° 42.57' S</t>
  </si>
  <si>
    <t>66° 41.47' E</t>
  </si>
  <si>
    <t>-</t>
  </si>
  <si>
    <t>R-2</t>
  </si>
  <si>
    <t>Lost</t>
  </si>
  <si>
    <t xml:space="preserve"> </t>
  </si>
  <si>
    <t>Gel traps</t>
  </si>
  <si>
    <t>100, 200, 300, 400</t>
  </si>
  <si>
    <t>50° 21.58' S</t>
  </si>
  <si>
    <t>66° 42.93' E</t>
  </si>
  <si>
    <t>Recover</t>
  </si>
  <si>
    <t>50° 20.10' S</t>
  </si>
  <si>
    <t>66° 40.69' E</t>
  </si>
  <si>
    <t>E-1</t>
  </si>
  <si>
    <t>48° 28.72' S</t>
  </si>
  <si>
    <t>72° 12.68' E</t>
  </si>
  <si>
    <t>48° 27.48' S</t>
  </si>
  <si>
    <t>72° 11.27' E</t>
  </si>
  <si>
    <r>
      <t xml:space="preserve">P trap </t>
    </r>
    <r>
      <rPr>
        <i/>
        <sz val="10"/>
        <color indexed="8"/>
        <rFont val="Times New Roman"/>
        <family val="1"/>
      </rPr>
      <t>(Ioda)</t>
    </r>
  </si>
  <si>
    <t>48° 29.66' S</t>
  </si>
  <si>
    <t>72° 14.28' E</t>
  </si>
  <si>
    <t>E-3</t>
  </si>
  <si>
    <t>48° 38.44' S</t>
  </si>
  <si>
    <t>71° 48.99' E</t>
  </si>
  <si>
    <t>48° 41.92' S</t>
  </si>
  <si>
    <t>71° 57.89' E</t>
  </si>
  <si>
    <t>48° 43.90' S</t>
  </si>
  <si>
    <t>71° 56.66' E</t>
  </si>
  <si>
    <t>48° 42.06' S</t>
  </si>
  <si>
    <t>71° 56.96' E</t>
  </si>
  <si>
    <t>E-4</t>
  </si>
  <si>
    <t>48° 40.77' S</t>
  </si>
  <si>
    <t>72° 32.08' E</t>
  </si>
  <si>
    <t>F</t>
  </si>
  <si>
    <t>48° 31.64' S</t>
  </si>
  <si>
    <t>74° 39.53' E</t>
  </si>
  <si>
    <t>48° 36.60' S</t>
  </si>
  <si>
    <t>74° 48.40' E</t>
  </si>
  <si>
    <t>A3-2</t>
  </si>
  <si>
    <t>P trap (+gel)</t>
  </si>
  <si>
    <t>50° 37.80' S</t>
  </si>
  <si>
    <t>72° 4.81' E</t>
  </si>
  <si>
    <t>50° 42.52' S</t>
  </si>
  <si>
    <t>72° 9.67' E</t>
  </si>
  <si>
    <t>48° 25.07 S</t>
  </si>
  <si>
    <t>71° 59.84' E</t>
  </si>
  <si>
    <t>48° 30.25 S</t>
  </si>
  <si>
    <t>71° 57.42' E</t>
  </si>
  <si>
    <t>48° 25.03 S</t>
  </si>
  <si>
    <t>71° 58.11' E</t>
  </si>
  <si>
    <t>48° 33.16' S</t>
  </si>
  <si>
    <t>71° 56.86' E</t>
  </si>
  <si>
    <t>Table 2. Particle fluxes at 200 m depth from free-drifting deployments of the 12-cup-carousel cylindrical PPS3/3-trap.</t>
  </si>
  <si>
    <t xml:space="preserve">Cup </t>
  </si>
  <si>
    <t>Cup</t>
  </si>
  <si>
    <t>POC flux</t>
  </si>
  <si>
    <t>PN flux</t>
  </si>
  <si>
    <t>bSi flux</t>
  </si>
  <si>
    <t>PIC flux</t>
  </si>
  <si>
    <t>POC/PN</t>
  </si>
  <si>
    <t>POC/bSi</t>
  </si>
  <si>
    <t>POC/PIC</t>
  </si>
  <si>
    <t>i.d.</t>
  </si>
  <si>
    <t>opening</t>
  </si>
  <si>
    <t>duration</t>
  </si>
  <si>
    <t>poison</t>
  </si>
  <si>
    <t xml:space="preserve">used </t>
  </si>
  <si>
    <t>per cup</t>
  </si>
  <si>
    <t>ratio</t>
  </si>
  <si>
    <t>#</t>
  </si>
  <si>
    <t>date</t>
  </si>
  <si>
    <t>time</t>
  </si>
  <si>
    <t>hours</t>
  </si>
  <si>
    <t>type</t>
  </si>
  <si>
    <t>for</t>
  </si>
  <si>
    <r>
      <t>umol m</t>
    </r>
    <r>
      <rPr>
        <b/>
        <vertAlign val="superscript"/>
        <sz val="10"/>
        <rFont val="Times New Roman"/>
        <family val="1"/>
      </rPr>
      <t>-2</t>
    </r>
    <r>
      <rPr>
        <b/>
        <sz val="10"/>
        <rFont val="Times New Roman"/>
        <family val="1"/>
      </rPr>
      <t xml:space="preserve"> d</t>
    </r>
    <r>
      <rPr>
        <b/>
        <vertAlign val="superscript"/>
        <sz val="10"/>
        <rFont val="Times New Roman"/>
        <family val="1"/>
      </rPr>
      <t>-1</t>
    </r>
  </si>
  <si>
    <t>mol/mol</t>
  </si>
  <si>
    <t>Site E-1</t>
  </si>
  <si>
    <t>none</t>
  </si>
  <si>
    <t>trace metals</t>
  </si>
  <si>
    <t>merc.  chlor.</t>
  </si>
  <si>
    <t>C,N,Si</t>
  </si>
  <si>
    <t>mean</t>
  </si>
  <si>
    <t>std.dev.</t>
  </si>
  <si>
    <t>Site E-3</t>
  </si>
  <si>
    <t>Site E-5</t>
  </si>
  <si>
    <t>Site A3-2</t>
  </si>
  <si>
    <t>1. times are UTC; local time was UTC+5h.</t>
  </si>
  <si>
    <t>Gels, 4,3,2,1</t>
  </si>
  <si>
    <t>Gels 8,7,6,5</t>
  </si>
  <si>
    <t>100, 200, 400</t>
  </si>
  <si>
    <t>Gels 11,10,9</t>
  </si>
  <si>
    <t>gel 15</t>
  </si>
  <si>
    <t>gels 14,13,12</t>
  </si>
  <si>
    <t>Trap Pressure (dbar)</t>
  </si>
  <si>
    <t>Trap Tilt (deg)</t>
  </si>
  <si>
    <t>200 (200 )</t>
  </si>
  <si>
    <t xml:space="preserve">2.  times and locations are at the start of the deck operation </t>
  </si>
  <si>
    <t>combined with cup 8</t>
  </si>
  <si>
    <t>gels  17, 16, 18</t>
  </si>
  <si>
    <t>E-5</t>
  </si>
  <si>
    <t>total filter</t>
  </si>
  <si>
    <t>corected for aliquots taken</t>
  </si>
  <si>
    <t>samples</t>
  </si>
  <si>
    <t>blank subtracted</t>
  </si>
  <si>
    <t>sediment</t>
  </si>
  <si>
    <t>N</t>
  </si>
  <si>
    <t>C</t>
  </si>
  <si>
    <t>PON umol</t>
  </si>
  <si>
    <t>POC umol</t>
  </si>
  <si>
    <t>trap #</t>
  </si>
  <si>
    <t>N ug/punch</t>
  </si>
  <si>
    <t>C ug/punch</t>
  </si>
  <si>
    <t>total mass mg</t>
  </si>
  <si>
    <t>umol</t>
  </si>
  <si>
    <t>250ml bottle</t>
  </si>
  <si>
    <t>P1_3</t>
  </si>
  <si>
    <t>P1_4</t>
  </si>
  <si>
    <t>P1_7</t>
  </si>
  <si>
    <t>P1_8</t>
  </si>
  <si>
    <t>P1_10</t>
  </si>
  <si>
    <t>P1_12</t>
  </si>
  <si>
    <t>P2_3</t>
  </si>
  <si>
    <t>P2_4</t>
  </si>
  <si>
    <t>P2_7</t>
  </si>
  <si>
    <t>P2_8</t>
  </si>
  <si>
    <t>P2_11</t>
  </si>
  <si>
    <t>P2_12</t>
  </si>
  <si>
    <t>P3_3+4</t>
  </si>
  <si>
    <t>P3_7+8</t>
  </si>
  <si>
    <t>P3_11+12</t>
  </si>
  <si>
    <t>P4_3+4</t>
  </si>
  <si>
    <t>P4_7+8</t>
  </si>
  <si>
    <t>P4_11</t>
  </si>
  <si>
    <t>combined with cup 2</t>
  </si>
  <si>
    <t>combined with cup 6</t>
  </si>
  <si>
    <t>combined with cup 10</t>
  </si>
  <si>
    <r>
      <t>mmol m</t>
    </r>
    <r>
      <rPr>
        <b/>
        <vertAlign val="superscript"/>
        <sz val="10"/>
        <rFont val="Times New Roman"/>
        <family val="1"/>
      </rPr>
      <t>-2</t>
    </r>
    <r>
      <rPr>
        <b/>
        <sz val="10"/>
        <rFont val="Times New Roman"/>
        <family val="1"/>
      </rPr>
      <t xml:space="preserve"> d</t>
    </r>
    <r>
      <rPr>
        <b/>
        <vertAlign val="superscript"/>
        <sz val="10"/>
        <rFont val="Times New Roman"/>
        <family val="1"/>
      </rPr>
      <t>-1</t>
    </r>
  </si>
  <si>
    <r>
      <t>2. P-trap collection area = 0.125 m</t>
    </r>
    <r>
      <rPr>
        <sz val="8"/>
        <color indexed="8"/>
        <rFont val="Times New Roman"/>
        <family val="1"/>
      </rPr>
      <t>2</t>
    </r>
    <r>
      <rPr>
        <sz val="10"/>
        <color indexed="8"/>
        <rFont val="Times New Roman"/>
        <family val="1"/>
      </rPr>
      <t xml:space="preserve">; particles washed through a 350 </t>
    </r>
    <r>
      <rPr>
        <sz val="10"/>
        <color indexed="8"/>
        <rFont val="Symbol"/>
        <family val="1"/>
        <charset val="2"/>
      </rPr>
      <t>u</t>
    </r>
    <r>
      <rPr>
        <sz val="10"/>
        <color indexed="8"/>
        <rFont val="Times New Roman"/>
        <family val="1"/>
      </rPr>
      <t xml:space="preserve">m Nitex screen to remove zooplankton and collected on a 1 </t>
    </r>
    <r>
      <rPr>
        <sz val="10"/>
        <rFont val="Symbol"/>
        <family val="1"/>
        <charset val="2"/>
      </rPr>
      <t>m</t>
    </r>
    <r>
      <rPr>
        <sz val="10"/>
        <rFont val="Times New Roman"/>
        <family val="1"/>
      </rPr>
      <t>m</t>
    </r>
    <r>
      <rPr>
        <sz val="10"/>
        <color indexed="8"/>
        <rFont val="Times New Roman"/>
        <family val="1"/>
      </rPr>
      <t xml:space="preserve"> silver filter </t>
    </r>
  </si>
  <si>
    <t>blank</t>
  </si>
  <si>
    <t>combined with cup 4</t>
  </si>
  <si>
    <t>combined with cup 12</t>
  </si>
  <si>
    <t>1. trap pressures and tilts from vertical are averages over the deployment   for deepest trap in each deployment</t>
  </si>
  <si>
    <t>PFe flux</t>
  </si>
  <si>
    <t>234Th flux</t>
  </si>
  <si>
    <r>
      <t>dpm m</t>
    </r>
    <r>
      <rPr>
        <b/>
        <vertAlign val="superscript"/>
        <sz val="10"/>
        <rFont val="Times New Roman"/>
        <family val="1"/>
      </rPr>
      <t>-2</t>
    </r>
    <r>
      <rPr>
        <b/>
        <sz val="10"/>
        <rFont val="Times New Roman"/>
        <family val="1"/>
      </rPr>
      <t xml:space="preserve"> d</t>
    </r>
    <r>
      <rPr>
        <b/>
        <vertAlign val="superscript"/>
        <sz val="10"/>
        <rFont val="Times New Roman"/>
        <family val="1"/>
      </rPr>
      <t>-1</t>
    </r>
  </si>
  <si>
    <t>POC/234Th</t>
  </si>
  <si>
    <t>umol/dpm</t>
  </si>
  <si>
    <t>POC/PFe</t>
  </si>
  <si>
    <t xml:space="preserve">not </t>
  </si>
  <si>
    <t>rotated</t>
  </si>
  <si>
    <t>not sampled</t>
  </si>
  <si>
    <t>POC/mass</t>
  </si>
  <si>
    <t>g/g</t>
  </si>
  <si>
    <t>mass flux</t>
  </si>
  <si>
    <r>
      <t>g m</t>
    </r>
    <r>
      <rPr>
        <b/>
        <vertAlign val="superscript"/>
        <sz val="10"/>
        <rFont val="Times New Roman"/>
        <family val="1"/>
      </rPr>
      <t>-2</t>
    </r>
    <r>
      <rPr>
        <b/>
        <sz val="10"/>
        <rFont val="Times New Roman"/>
        <family val="1"/>
      </rPr>
      <t xml:space="preserve"> d</t>
    </r>
    <r>
      <rPr>
        <b/>
        <vertAlign val="superscript"/>
        <sz val="10"/>
        <rFont val="Times New Roman"/>
        <family val="1"/>
      </rPr>
      <t>-1</t>
    </r>
  </si>
  <si>
    <t>VIAL ID</t>
  </si>
  <si>
    <t>station</t>
  </si>
  <si>
    <t>E1-1</t>
  </si>
  <si>
    <t>E1-3</t>
  </si>
  <si>
    <t>E1-5</t>
  </si>
  <si>
    <t>sample ID</t>
  </si>
  <si>
    <t>TM1</t>
  </si>
  <si>
    <t>TM2</t>
  </si>
  <si>
    <t>TM5</t>
  </si>
  <si>
    <t>TM6</t>
  </si>
  <si>
    <t>TM9</t>
  </si>
  <si>
    <t>TM10</t>
  </si>
  <si>
    <t>TM1+2</t>
  </si>
  <si>
    <t>TM5+6</t>
  </si>
  <si>
    <t>TM9+10</t>
  </si>
  <si>
    <t>Mo98(LR)</t>
  </si>
  <si>
    <t>Ag107(LR)</t>
  </si>
  <si>
    <t>Ag109(LR)</t>
  </si>
  <si>
    <t>nmol/filter</t>
  </si>
  <si>
    <t>Cd111(LR)</t>
  </si>
  <si>
    <t>Ba138(LR)</t>
  </si>
  <si>
    <t>Pb208(LR)</t>
  </si>
  <si>
    <t>U238(LR)</t>
  </si>
  <si>
    <t>Al27(MR)</t>
  </si>
  <si>
    <t>P31(MR)</t>
  </si>
  <si>
    <t>Ti47(MR)</t>
  </si>
  <si>
    <t>Ti49(MR)</t>
  </si>
  <si>
    <t>V51(MR)</t>
  </si>
  <si>
    <t>Cr52(MR)</t>
  </si>
  <si>
    <t>Mn55(MR)</t>
  </si>
  <si>
    <t>Fe56(MR)</t>
  </si>
  <si>
    <t>Co59(MR)</t>
  </si>
  <si>
    <t>Ni60(MR)</t>
  </si>
  <si>
    <t>Cu63(MR)</t>
  </si>
  <si>
    <t>Zn66(MR)</t>
  </si>
  <si>
    <t>Zn67(MR)</t>
  </si>
  <si>
    <t>Zn68(MR)</t>
  </si>
  <si>
    <t>Ga69(MR)</t>
  </si>
  <si>
    <t>Ga71(MR)</t>
  </si>
  <si>
    <t xml:space="preserve"> #VALUE! = below detection limit</t>
  </si>
  <si>
    <t>values have been blank subtracted and the limit of detection enforced</t>
  </si>
  <si>
    <t>values are in nmol/cup or filter</t>
  </si>
  <si>
    <t>the entire cup contents was filtered through a 350 um screen and onto a 2 um PC membrane filter</t>
  </si>
  <si>
    <t>PC filters were digested in HNO3 @ 110 deg C for 12 hours, resuspended in 10% HNO3 and analysed by ICPMS (element 2)</t>
  </si>
  <si>
    <t>Certified reference material quality control and determination of digestion and analysis recovery</t>
  </si>
  <si>
    <t>CRM 2 removed as a high concentration outlier</t>
  </si>
  <si>
    <t>CRM BCR 414 no 0230</t>
  </si>
  <si>
    <t>CRM_1</t>
  </si>
  <si>
    <t>CRM_2</t>
  </si>
  <si>
    <t>CRM_3</t>
  </si>
  <si>
    <t>CRM_4</t>
  </si>
  <si>
    <t>Mean</t>
  </si>
  <si>
    <t>SD</t>
  </si>
  <si>
    <t>%SD</t>
  </si>
  <si>
    <t>Cert/indic value</t>
  </si>
  <si>
    <t>% recovery</t>
  </si>
  <si>
    <t>mg/kg</t>
  </si>
  <si>
    <t>mol/mmol</t>
  </si>
  <si>
    <t>KEOPS 2</t>
  </si>
  <si>
    <t>Site</t>
  </si>
  <si>
    <t>stdev</t>
  </si>
  <si>
    <t>POC/ dry mass</t>
  </si>
  <si>
    <t>POC/Fe (ISP-ml)</t>
  </si>
  <si>
    <t>Bsi</t>
  </si>
  <si>
    <t>location</t>
  </si>
  <si>
    <t>PPS</t>
  </si>
  <si>
    <t>BSi</t>
  </si>
  <si>
    <t>tube #</t>
  </si>
  <si>
    <t>cup</t>
  </si>
  <si>
    <t>on whole</t>
  </si>
  <si>
    <t>filt.</t>
  </si>
  <si>
    <t>E1</t>
  </si>
  <si>
    <t>E3</t>
  </si>
  <si>
    <t>3+4</t>
  </si>
  <si>
    <t>7+8</t>
  </si>
  <si>
    <t>11+12</t>
  </si>
  <si>
    <t>E5</t>
  </si>
  <si>
    <t>corrected for aliquots taken</t>
  </si>
  <si>
    <t>CaCO3</t>
  </si>
  <si>
    <t>ug/filter</t>
  </si>
  <si>
    <t>umol/filter</t>
  </si>
  <si>
    <t>umol/bottle</t>
  </si>
  <si>
    <t>&lt;1</t>
  </si>
  <si>
    <t>Phyto</t>
  </si>
  <si>
    <t>2 to 8</t>
  </si>
  <si>
    <t>20 to 100</t>
  </si>
  <si>
    <t>4 to 10</t>
  </si>
  <si>
    <t>steady state</t>
  </si>
  <si>
    <t>Sample information</t>
  </si>
  <si>
    <t>Results</t>
  </si>
  <si>
    <t>sample</t>
  </si>
  <si>
    <t>Sample Th</t>
  </si>
  <si>
    <t>234Th activity</t>
  </si>
  <si>
    <t>ID</t>
  </si>
  <si>
    <t>Id</t>
  </si>
  <si>
    <t>dpm</t>
  </si>
  <si>
    <t>sd</t>
  </si>
  <si>
    <t>dpm m² d-1</t>
  </si>
  <si>
    <t>Site E1</t>
  </si>
  <si>
    <t>KE P1_E1_3</t>
  </si>
  <si>
    <t>P1 E1 &lt;350 3</t>
  </si>
  <si>
    <t>KE P1_E1_4</t>
  </si>
  <si>
    <t>P1 E1 &lt;350 4</t>
  </si>
  <si>
    <t>KE P1_E1_7</t>
  </si>
  <si>
    <t>P1 E1 &lt;350 7</t>
  </si>
  <si>
    <t>KE P1_E1_8</t>
  </si>
  <si>
    <t>P1 E1 &lt;350 8</t>
  </si>
  <si>
    <t>KE P1_E1_10</t>
  </si>
  <si>
    <t>P1 E1 &lt;350 10</t>
  </si>
  <si>
    <t>Site E3</t>
  </si>
  <si>
    <t>KE P2 reovery 10/11/2011</t>
  </si>
  <si>
    <t>P2 E3 &lt;350 3</t>
  </si>
  <si>
    <t>P2 E3 &lt;350 4</t>
  </si>
  <si>
    <t>P2 E3 &lt;350 7</t>
  </si>
  <si>
    <t>P2 E3 &lt;350 8</t>
  </si>
  <si>
    <t>P2 E3 &lt;350 11</t>
  </si>
  <si>
    <t>P2 E3 &lt;350 12</t>
  </si>
  <si>
    <t>P2_4 &gt;350 µm fraction</t>
  </si>
  <si>
    <t>P2 E3 &gt;350 4</t>
  </si>
  <si>
    <t>KE P3 reovery 17/11/2011</t>
  </si>
  <si>
    <t>P3_3</t>
  </si>
  <si>
    <t>A3-P3 3-4</t>
  </si>
  <si>
    <t>P3_4</t>
  </si>
  <si>
    <t>P3_7</t>
  </si>
  <si>
    <t>A3-P3 7-8</t>
  </si>
  <si>
    <t>P3_8</t>
  </si>
  <si>
    <t>P3_11</t>
  </si>
  <si>
    <t>A3-P3 11-12</t>
  </si>
  <si>
    <t>P3_12</t>
  </si>
  <si>
    <t>Site E5</t>
  </si>
  <si>
    <t>KE P4 reovery 20/11/2011</t>
  </si>
  <si>
    <t>P4_3</t>
  </si>
  <si>
    <t>E5-P4 3-4</t>
  </si>
  <si>
    <t>P4_4</t>
  </si>
  <si>
    <t>P4_7</t>
  </si>
  <si>
    <t>E5-P4 7-8</t>
  </si>
  <si>
    <t>P4_8</t>
  </si>
  <si>
    <t>E5-P4 11</t>
  </si>
  <si>
    <t>P4_12</t>
  </si>
  <si>
    <t>3.mean values are the total collection divided by the total time over the entire deployment</t>
  </si>
  <si>
    <t>4. Flux standard deviations are weighted by cup duration times</t>
  </si>
  <si>
    <t>POC Flux</t>
  </si>
  <si>
    <t>pFe flux</t>
  </si>
  <si>
    <t>values arrayed for</t>
  </si>
  <si>
    <t>covar analysis</t>
  </si>
  <si>
    <t>n/a</t>
  </si>
  <si>
    <t>5.  Component ratio standard deviations are unweighted</t>
  </si>
  <si>
    <t>to be added later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</si>
</sst>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mm\-yy\ hh:mm"/>
    <numFmt numFmtId="165" formatCode="d/m/yyyy\ h:mm"/>
    <numFmt numFmtId="166" formatCode="0.0"/>
    <numFmt numFmtId="167" formatCode="0.000"/>
  </numFmts>
  <fonts count="3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color indexed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vertAlign val="superscript"/>
      <sz val="10"/>
      <name val="Times New Roman"/>
      <family val="1"/>
    </font>
    <font>
      <sz val="10"/>
      <color theme="1"/>
      <name val="Times New Roman"/>
      <family val="1"/>
    </font>
    <font>
      <sz val="10"/>
      <name val="Symbol"/>
      <family val="1"/>
      <charset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color indexed="8"/>
      <name val="Symbol"/>
      <family val="1"/>
      <charset val="2"/>
    </font>
    <font>
      <sz val="8"/>
      <color indexed="8"/>
      <name val="Times New Roman"/>
      <family val="1"/>
    </font>
    <font>
      <i/>
      <sz val="8"/>
      <color indexed="8"/>
      <name val="Times New Roman"/>
      <family val="1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Verdana"/>
      <family val="2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name val="Arial"/>
      <family val="2"/>
    </font>
    <font>
      <sz val="12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0"/>
      <color indexed="8"/>
      <name val="Times New Roman"/>
      <family val="1"/>
    </font>
    <font>
      <b/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164" fontId="3" fillId="0" borderId="0" xfId="0" applyNumberFormat="1" applyFont="1" applyFill="1" applyBorder="1" applyAlignment="1"/>
    <xf numFmtId="0" fontId="3" fillId="0" borderId="0" xfId="0" applyFont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/>
    <xf numFmtId="164" fontId="5" fillId="0" borderId="0" xfId="0" applyNumberFormat="1" applyFont="1" applyFill="1" applyAlignment="1"/>
    <xf numFmtId="2" fontId="3" fillId="0" borderId="0" xfId="0" applyNumberFormat="1" applyFont="1" applyFill="1" applyBorder="1"/>
    <xf numFmtId="164" fontId="5" fillId="0" borderId="0" xfId="0" applyNumberFormat="1" applyFont="1" applyFill="1" applyAlignment="1">
      <alignment horizontal="left"/>
    </xf>
    <xf numFmtId="164" fontId="5" fillId="2" borderId="0" xfId="0" applyNumberFormat="1" applyFont="1" applyFill="1" applyAlignment="1"/>
    <xf numFmtId="0" fontId="6" fillId="0" borderId="0" xfId="0" applyFont="1"/>
    <xf numFmtId="0" fontId="3" fillId="2" borderId="0" xfId="0" applyFont="1" applyFill="1" applyAlignment="1">
      <alignment horizontal="left"/>
    </xf>
    <xf numFmtId="15" fontId="5" fillId="0" borderId="0" xfId="0" applyNumberFormat="1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164" fontId="5" fillId="0" borderId="0" xfId="0" applyNumberFormat="1" applyFont="1" applyFill="1"/>
    <xf numFmtId="0" fontId="3" fillId="2" borderId="0" xfId="0" applyFont="1" applyFill="1"/>
    <xf numFmtId="3" fontId="3" fillId="2" borderId="0" xfId="0" applyNumberFormat="1" applyFont="1" applyFill="1" applyAlignment="1">
      <alignment horizontal="left"/>
    </xf>
    <xf numFmtId="15" fontId="3" fillId="0" borderId="0" xfId="0" applyNumberFormat="1" applyFont="1" applyFill="1" applyBorder="1"/>
    <xf numFmtId="165" fontId="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left"/>
    </xf>
    <xf numFmtId="0" fontId="2" fillId="0" borderId="0" xfId="0" applyFont="1" applyFill="1"/>
    <xf numFmtId="0" fontId="4" fillId="0" borderId="0" xfId="0" applyFont="1" applyFill="1"/>
    <xf numFmtId="1" fontId="4" fillId="0" borderId="0" xfId="0" applyNumberFormat="1" applyFont="1" applyFill="1"/>
    <xf numFmtId="0" fontId="4" fillId="0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5" fontId="10" fillId="0" borderId="0" xfId="0" applyNumberFormat="1" applyFont="1"/>
    <xf numFmtId="20" fontId="3" fillId="0" borderId="0" xfId="0" applyNumberFormat="1" applyFont="1" applyFill="1" applyAlignment="1">
      <alignment horizontal="right"/>
    </xf>
    <xf numFmtId="1" fontId="3" fillId="0" borderId="0" xfId="0" applyNumberFormat="1" applyFont="1" applyFill="1"/>
    <xf numFmtId="16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6" fontId="3" fillId="0" borderId="0" xfId="0" applyNumberFormat="1" applyFont="1" applyFill="1"/>
    <xf numFmtId="0" fontId="10" fillId="0" borderId="0" xfId="0" applyFont="1"/>
    <xf numFmtId="20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2" fontId="3" fillId="0" borderId="0" xfId="0" applyNumberFormat="1" applyFont="1" applyFill="1"/>
    <xf numFmtId="16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/>
    <xf numFmtId="0" fontId="3" fillId="0" borderId="1" xfId="0" applyFont="1" applyFill="1" applyBorder="1"/>
    <xf numFmtId="1" fontId="3" fillId="0" borderId="1" xfId="0" applyNumberFormat="1" applyFont="1" applyFill="1" applyBorder="1"/>
    <xf numFmtId="0" fontId="3" fillId="0" borderId="0" xfId="0" applyFont="1" applyFill="1" applyBorder="1"/>
    <xf numFmtId="0" fontId="3" fillId="0" borderId="1" xfId="0" applyFont="1" applyFill="1" applyBorder="1" applyAlignment="1">
      <alignment horizontal="left"/>
    </xf>
    <xf numFmtId="164" fontId="5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/>
    <xf numFmtId="2" fontId="0" fillId="0" borderId="3" xfId="0" applyNumberFormat="1" applyBorder="1" applyAlignment="1">
      <alignment horizontal="center"/>
    </xf>
    <xf numFmtId="1" fontId="0" fillId="0" borderId="3" xfId="0" applyNumberFormat="1" applyBorder="1"/>
    <xf numFmtId="1" fontId="0" fillId="0" borderId="4" xfId="0" applyNumberFormat="1" applyBorder="1" applyAlignment="1">
      <alignment horizontal="center"/>
    </xf>
    <xf numFmtId="1" fontId="0" fillId="0" borderId="5" xfId="0" applyNumberFormat="1" applyFont="1" applyBorder="1" applyAlignment="1">
      <alignment horizontal="center"/>
    </xf>
    <xf numFmtId="1" fontId="12" fillId="0" borderId="5" xfId="0" applyNumberFormat="1" applyFont="1" applyBorder="1"/>
    <xf numFmtId="1" fontId="13" fillId="0" borderId="6" xfId="0" applyNumberFormat="1" applyFont="1" applyBorder="1"/>
    <xf numFmtId="166" fontId="0" fillId="0" borderId="7" xfId="0" applyNumberFormat="1" applyBorder="1" applyAlignment="1">
      <alignment horizontal="right"/>
    </xf>
    <xf numFmtId="2" fontId="0" fillId="0" borderId="8" xfId="0" applyNumberFormat="1" applyBorder="1" applyAlignment="1">
      <alignment horizontal="center"/>
    </xf>
    <xf numFmtId="1" fontId="0" fillId="0" borderId="9" xfId="0" applyNumberFormat="1" applyBorder="1"/>
    <xf numFmtId="1" fontId="0" fillId="0" borderId="5" xfId="0" applyNumberFormat="1" applyBorder="1"/>
    <xf numFmtId="1" fontId="0" fillId="0" borderId="10" xfId="0" applyNumberForma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" fontId="0" fillId="0" borderId="12" xfId="0" applyNumberFormat="1" applyBorder="1"/>
    <xf numFmtId="1" fontId="0" fillId="0" borderId="13" xfId="0" applyNumberFormat="1" applyBorder="1"/>
    <xf numFmtId="166" fontId="0" fillId="0" borderId="14" xfId="0" applyNumberFormat="1" applyBorder="1" applyAlignment="1">
      <alignment horizontal="right"/>
    </xf>
    <xf numFmtId="2" fontId="0" fillId="0" borderId="12" xfId="0" applyNumberFormat="1" applyBorder="1" applyAlignment="1">
      <alignment horizontal="center"/>
    </xf>
    <xf numFmtId="1" fontId="0" fillId="0" borderId="15" xfId="0" applyNumberFormat="1" applyBorder="1"/>
    <xf numFmtId="1" fontId="0" fillId="0" borderId="11" xfId="0" applyNumberFormat="1" applyFill="1" applyBorder="1"/>
    <xf numFmtId="1" fontId="0" fillId="0" borderId="16" xfId="0" applyNumberFormat="1" applyBorder="1" applyAlignment="1">
      <alignment horizontal="center"/>
    </xf>
    <xf numFmtId="1" fontId="0" fillId="3" borderId="17" xfId="0" applyNumberFormat="1" applyFont="1" applyFill="1" applyBorder="1" applyAlignment="1">
      <alignment horizontal="center"/>
    </xf>
    <xf numFmtId="2" fontId="0" fillId="0" borderId="18" xfId="0" applyNumberFormat="1" applyBorder="1"/>
    <xf numFmtId="2" fontId="0" fillId="0" borderId="0" xfId="0" applyNumberFormat="1" applyBorder="1"/>
    <xf numFmtId="2" fontId="0" fillId="0" borderId="5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5" xfId="0" applyNumberFormat="1" applyBorder="1" applyAlignment="1">
      <alignment horizontal="right"/>
    </xf>
    <xf numFmtId="2" fontId="0" fillId="0" borderId="10" xfId="0" applyNumberFormat="1" applyBorder="1" applyAlignment="1">
      <alignment horizontal="right"/>
    </xf>
    <xf numFmtId="1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1" fontId="0" fillId="0" borderId="19" xfId="0" applyNumberFormat="1" applyBorder="1"/>
    <xf numFmtId="2" fontId="0" fillId="0" borderId="17" xfId="0" applyNumberFormat="1" applyBorder="1" applyAlignment="1">
      <alignment horizontal="right"/>
    </xf>
    <xf numFmtId="2" fontId="0" fillId="0" borderId="19" xfId="0" applyNumberFormat="1" applyBorder="1" applyAlignment="1">
      <alignment horizontal="right"/>
    </xf>
    <xf numFmtId="2" fontId="0" fillId="0" borderId="19" xfId="0" applyNumberFormat="1" applyBorder="1" applyAlignment="1">
      <alignment horizontal="center"/>
    </xf>
    <xf numFmtId="1" fontId="0" fillId="0" borderId="17" xfId="0" applyNumberFormat="1" applyFont="1" applyBorder="1" applyAlignment="1">
      <alignment horizontal="center"/>
    </xf>
    <xf numFmtId="1" fontId="0" fillId="4" borderId="17" xfId="0" applyNumberFormat="1" applyFont="1" applyFill="1" applyBorder="1" applyAlignment="1">
      <alignment horizontal="center"/>
    </xf>
    <xf numFmtId="2" fontId="0" fillId="4" borderId="0" xfId="0" applyNumberFormat="1" applyFill="1" applyBorder="1"/>
    <xf numFmtId="2" fontId="0" fillId="0" borderId="20" xfId="0" applyNumberFormat="1" applyBorder="1"/>
    <xf numFmtId="1" fontId="0" fillId="0" borderId="11" xfId="0" applyNumberFormat="1" applyBorder="1" applyAlignment="1">
      <alignment horizontal="center"/>
    </xf>
    <xf numFmtId="2" fontId="0" fillId="0" borderId="21" xfId="0" applyNumberFormat="1" applyBorder="1"/>
    <xf numFmtId="2" fontId="0" fillId="0" borderId="22" xfId="0" applyNumberFormat="1" applyBorder="1"/>
    <xf numFmtId="2" fontId="0" fillId="0" borderId="11" xfId="0" applyNumberFormat="1" applyBorder="1" applyAlignment="1">
      <alignment horizontal="center"/>
    </xf>
    <xf numFmtId="1" fontId="0" fillId="0" borderId="16" xfId="0" applyNumberFormat="1" applyBorder="1"/>
    <xf numFmtId="2" fontId="0" fillId="0" borderId="11" xfId="0" applyNumberFormat="1" applyBorder="1"/>
    <xf numFmtId="2" fontId="0" fillId="0" borderId="16" xfId="0" applyNumberFormat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2" fontId="6" fillId="0" borderId="0" xfId="0" applyNumberFormat="1" applyFont="1" applyFill="1"/>
    <xf numFmtId="0" fontId="3" fillId="0" borderId="2" xfId="0" applyFont="1" applyFill="1" applyBorder="1"/>
    <xf numFmtId="0" fontId="0" fillId="0" borderId="0" xfId="0" applyFill="1"/>
    <xf numFmtId="0" fontId="6" fillId="0" borderId="0" xfId="0" applyFont="1" applyFill="1" applyAlignment="1">
      <alignment horizontal="right"/>
    </xf>
    <xf numFmtId="1" fontId="16" fillId="0" borderId="0" xfId="0" applyNumberFormat="1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3" fontId="3" fillId="0" borderId="0" xfId="0" applyNumberFormat="1" applyFont="1" applyFill="1" applyAlignment="1">
      <alignment horizontal="left"/>
    </xf>
    <xf numFmtId="0" fontId="0" fillId="0" borderId="1" xfId="0" applyBorder="1"/>
    <xf numFmtId="0" fontId="16" fillId="0" borderId="0" xfId="0" applyFont="1" applyFill="1" applyBorder="1" applyAlignment="1">
      <alignment horizontal="left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2" fontId="0" fillId="0" borderId="0" xfId="0" applyNumberFormat="1"/>
    <xf numFmtId="2" fontId="3" fillId="0" borderId="0" xfId="0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2" fontId="3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/>
    <xf numFmtId="1" fontId="3" fillId="0" borderId="0" xfId="0" applyNumberFormat="1" applyFont="1" applyFill="1" applyBorder="1"/>
    <xf numFmtId="166" fontId="3" fillId="0" borderId="0" xfId="0" applyNumberFormat="1" applyFont="1" applyFill="1" applyBorder="1"/>
    <xf numFmtId="1" fontId="0" fillId="0" borderId="0" xfId="0" applyNumberFormat="1" applyBorder="1"/>
    <xf numFmtId="0" fontId="0" fillId="0" borderId="0" xfId="0" applyBorder="1"/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0" fontId="18" fillId="0" borderId="23" xfId="0" applyFont="1" applyFill="1" applyBorder="1" applyAlignment="1">
      <alignment horizontal="center"/>
    </xf>
    <xf numFmtId="0" fontId="19" fillId="0" borderId="23" xfId="0" applyNumberFormat="1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2" fontId="18" fillId="0" borderId="0" xfId="0" applyNumberFormat="1" applyFont="1" applyFill="1" applyBorder="1" applyAlignment="1">
      <alignment horizontal="center"/>
    </xf>
    <xf numFmtId="166" fontId="18" fillId="0" borderId="0" xfId="0" applyNumberFormat="1" applyFont="1" applyFill="1" applyBorder="1" applyAlignment="1">
      <alignment horizontal="center"/>
    </xf>
    <xf numFmtId="1" fontId="17" fillId="0" borderId="20" xfId="0" applyNumberFormat="1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8" fillId="0" borderId="24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2" fontId="18" fillId="0" borderId="1" xfId="0" applyNumberFormat="1" applyFont="1" applyFill="1" applyBorder="1" applyAlignment="1">
      <alignment horizontal="center"/>
    </xf>
    <xf numFmtId="166" fontId="18" fillId="0" borderId="1" xfId="0" applyNumberFormat="1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/>
    </xf>
    <xf numFmtId="167" fontId="3" fillId="0" borderId="0" xfId="0" applyNumberFormat="1" applyFont="1" applyFill="1"/>
    <xf numFmtId="2" fontId="0" fillId="0" borderId="0" xfId="0" applyNumberFormat="1" applyFill="1"/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0" fontId="21" fillId="0" borderId="0" xfId="0" applyFont="1"/>
    <xf numFmtId="0" fontId="21" fillId="0" borderId="1" xfId="0" applyFont="1" applyBorder="1"/>
    <xf numFmtId="0" fontId="4" fillId="0" borderId="0" xfId="0" applyFont="1" applyFill="1" applyBorder="1" applyAlignment="1">
      <alignment horizontal="center"/>
    </xf>
    <xf numFmtId="0" fontId="21" fillId="0" borderId="0" xfId="0" applyFont="1" applyBorder="1"/>
    <xf numFmtId="0" fontId="4" fillId="5" borderId="0" xfId="0" applyFont="1" applyFill="1" applyBorder="1" applyAlignment="1">
      <alignment horizontal="center"/>
    </xf>
    <xf numFmtId="2" fontId="10" fillId="0" borderId="0" xfId="0" applyNumberFormat="1" applyFont="1"/>
    <xf numFmtId="2" fontId="22" fillId="0" borderId="0" xfId="0" applyNumberFormat="1" applyFont="1"/>
    <xf numFmtId="0" fontId="23" fillId="0" borderId="0" xfId="0" applyFont="1"/>
    <xf numFmtId="0" fontId="24" fillId="0" borderId="0" xfId="0" applyFont="1"/>
    <xf numFmtId="2" fontId="24" fillId="0" borderId="0" xfId="0" applyNumberFormat="1" applyFont="1"/>
    <xf numFmtId="2" fontId="24" fillId="0" borderId="0" xfId="0" applyNumberFormat="1" applyFont="1" applyFill="1" applyBorder="1"/>
    <xf numFmtId="2" fontId="24" fillId="0" borderId="0" xfId="0" applyNumberFormat="1" applyFont="1" applyBorder="1"/>
    <xf numFmtId="0" fontId="23" fillId="0" borderId="1" xfId="0" applyFont="1" applyBorder="1"/>
    <xf numFmtId="0" fontId="23" fillId="0" borderId="0" xfId="0" applyFont="1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5" xfId="0" applyBorder="1"/>
    <xf numFmtId="0" fontId="0" fillId="0" borderId="6" xfId="0" applyBorder="1"/>
    <xf numFmtId="2" fontId="0" fillId="0" borderId="9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166" fontId="0" fillId="0" borderId="5" xfId="0" applyNumberFormat="1" applyBorder="1"/>
    <xf numFmtId="0" fontId="0" fillId="0" borderId="10" xfId="0" applyBorder="1"/>
    <xf numFmtId="166" fontId="0" fillId="0" borderId="11" xfId="0" applyNumberFormat="1" applyBorder="1"/>
    <xf numFmtId="0" fontId="0" fillId="0" borderId="16" xfId="0" applyBorder="1"/>
    <xf numFmtId="166" fontId="0" fillId="0" borderId="17" xfId="0" applyNumberFormat="1" applyBorder="1"/>
    <xf numFmtId="2" fontId="0" fillId="0" borderId="19" xfId="0" applyNumberFormat="1" applyBorder="1"/>
    <xf numFmtId="166" fontId="0" fillId="0" borderId="17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2" fontId="0" fillId="0" borderId="29" xfId="0" applyNumberFormat="1" applyBorder="1"/>
    <xf numFmtId="2" fontId="10" fillId="0" borderId="0" xfId="0" applyNumberFormat="1" applyFont="1" applyBorder="1"/>
    <xf numFmtId="0" fontId="25" fillId="0" borderId="0" xfId="0" applyFont="1"/>
    <xf numFmtId="0" fontId="2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2" fontId="26" fillId="0" borderId="0" xfId="0" applyNumberFormat="1" applyFont="1" applyAlignment="1">
      <alignment horizontal="right"/>
    </xf>
    <xf numFmtId="1" fontId="0" fillId="0" borderId="0" xfId="0" applyNumberFormat="1" applyAlignment="1">
      <alignment horizontal="center" vertical="center"/>
    </xf>
    <xf numFmtId="0" fontId="28" fillId="2" borderId="27" xfId="0" applyFont="1" applyFill="1" applyBorder="1" applyAlignment="1">
      <alignment vertical="center"/>
    </xf>
    <xf numFmtId="0" fontId="28" fillId="6" borderId="27" xfId="0" applyFont="1" applyFill="1" applyBorder="1" applyAlignment="1">
      <alignment vertical="center"/>
    </xf>
    <xf numFmtId="0" fontId="28" fillId="6" borderId="2" xfId="0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vertical="center"/>
    </xf>
    <xf numFmtId="0" fontId="28" fillId="6" borderId="30" xfId="0" applyFont="1" applyFill="1" applyBorder="1" applyAlignment="1">
      <alignment horizontal="center" vertical="center"/>
    </xf>
    <xf numFmtId="0" fontId="29" fillId="2" borderId="18" xfId="0" applyFont="1" applyFill="1" applyBorder="1" applyAlignment="1">
      <alignment horizontal="center" vertical="center"/>
    </xf>
    <xf numFmtId="0" fontId="1" fillId="6" borderId="18" xfId="1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27" fillId="6" borderId="0" xfId="1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/>
    </xf>
    <xf numFmtId="0" fontId="30" fillId="6" borderId="20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20" fontId="12" fillId="6" borderId="24" xfId="1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31" fillId="6" borderId="25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20" fontId="30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" fontId="0" fillId="0" borderId="0" xfId="0" applyNumberFormat="1" applyFill="1"/>
    <xf numFmtId="166" fontId="4" fillId="0" borderId="0" xfId="0" applyNumberFormat="1" applyFont="1" applyFill="1"/>
    <xf numFmtId="166" fontId="0" fillId="0" borderId="0" xfId="0" applyNumberFormat="1"/>
    <xf numFmtId="1" fontId="10" fillId="0" borderId="0" xfId="0" applyNumberFormat="1" applyFont="1"/>
    <xf numFmtId="0" fontId="10" fillId="0" borderId="2" xfId="0" applyFont="1" applyBorder="1"/>
    <xf numFmtId="0" fontId="0" fillId="0" borderId="2" xfId="0" applyBorder="1"/>
    <xf numFmtId="0" fontId="24" fillId="0" borderId="2" xfId="0" applyFont="1" applyBorder="1"/>
    <xf numFmtId="0" fontId="10" fillId="0" borderId="0" xfId="0" applyFont="1" applyBorder="1"/>
    <xf numFmtId="0" fontId="24" fillId="0" borderId="0" xfId="0" applyFont="1" applyBorder="1"/>
    <xf numFmtId="2" fontId="0" fillId="0" borderId="31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2" fontId="34" fillId="0" borderId="32" xfId="0" applyNumberFormat="1" applyFont="1" applyFill="1" applyBorder="1" applyAlignment="1">
      <alignment horizontal="center"/>
    </xf>
    <xf numFmtId="166" fontId="35" fillId="0" borderId="33" xfId="0" applyNumberFormat="1" applyFont="1" applyBorder="1" applyAlignment="1">
      <alignment horizontal="center"/>
    </xf>
    <xf numFmtId="166" fontId="35" fillId="0" borderId="34" xfId="0" applyNumberFormat="1" applyFont="1" applyBorder="1"/>
    <xf numFmtId="166" fontId="35" fillId="0" borderId="34" xfId="0" applyNumberFormat="1" applyFont="1" applyBorder="1" applyAlignment="1">
      <alignment horizontal="center"/>
    </xf>
    <xf numFmtId="166" fontId="35" fillId="0" borderId="17" xfId="0" applyNumberFormat="1" applyFont="1" applyBorder="1"/>
    <xf numFmtId="166" fontId="0" fillId="0" borderId="10" xfId="0" applyNumberFormat="1" applyBorder="1"/>
    <xf numFmtId="0" fontId="0" fillId="0" borderId="19" xfId="0" applyBorder="1"/>
    <xf numFmtId="166" fontId="0" fillId="0" borderId="19" xfId="0" applyNumberFormat="1" applyBorder="1"/>
    <xf numFmtId="166" fontId="35" fillId="0" borderId="11" xfId="0" applyNumberFormat="1" applyFont="1" applyBorder="1"/>
    <xf numFmtId="0" fontId="0" fillId="2" borderId="0" xfId="0" applyFill="1"/>
    <xf numFmtId="1" fontId="6" fillId="0" borderId="0" xfId="0" applyNumberFormat="1" applyFont="1" applyFill="1"/>
    <xf numFmtId="2" fontId="4" fillId="5" borderId="0" xfId="0" applyNumberFormat="1" applyFont="1" applyFill="1" applyBorder="1"/>
    <xf numFmtId="2" fontId="36" fillId="5" borderId="0" xfId="0" applyNumberFormat="1" applyFont="1" applyFill="1"/>
    <xf numFmtId="166" fontId="34" fillId="5" borderId="0" xfId="0" applyNumberFormat="1" applyFont="1" applyFill="1"/>
    <xf numFmtId="2" fontId="34" fillId="5" borderId="0" xfId="0" applyNumberFormat="1" applyFont="1" applyFill="1"/>
    <xf numFmtId="2" fontId="37" fillId="5" borderId="0" xfId="0" applyNumberFormat="1" applyFont="1" applyFill="1" applyBorder="1" applyAlignment="1">
      <alignment horizontal="right"/>
    </xf>
    <xf numFmtId="166" fontId="4" fillId="5" borderId="0" xfId="0" applyNumberFormat="1" applyFont="1" applyFill="1" applyBorder="1"/>
    <xf numFmtId="0" fontId="10" fillId="0" borderId="0" xfId="0" applyFont="1" applyFill="1" applyBorder="1"/>
    <xf numFmtId="0" fontId="24" fillId="0" borderId="0" xfId="0" applyFont="1" applyFill="1" applyBorder="1"/>
    <xf numFmtId="2" fontId="10" fillId="0" borderId="0" xfId="0" applyNumberFormat="1" applyFont="1" applyFill="1" applyBorder="1"/>
  </cellXfs>
  <cellStyles count="2">
    <cellStyle name="Normal" xfId="0" builtinId="0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omt/Local%20Settings/Temporary%20Internet%20Files/Content.Outlook/RT9PZRN0/KEOPS2_TrapsResults_v4_SB_bS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bowie/Documents/ARB/Projects%20-%20field/KEOPS-2/Data/ISP/ICPMS%20data/ISP_particulate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psTable1-Deployments"/>
      <sheetName val="TrapsTable2-Fluxes"/>
      <sheetName val="DatafromStevo"/>
      <sheetName val="TrapsTable3-Comparisons"/>
      <sheetName val="DatafromDiana"/>
      <sheetName val="DatafromPier"/>
      <sheetName val="DatafromFred"/>
    </sheetNames>
    <sheetDataSet>
      <sheetData sheetId="0" refreshError="1"/>
      <sheetData sheetId="1" refreshError="1"/>
      <sheetData sheetId="2">
        <row r="6">
          <cell r="D6">
            <v>2152.6366699950072</v>
          </cell>
        </row>
        <row r="7">
          <cell r="D7">
            <v>2024.8315027458812</v>
          </cell>
        </row>
        <row r="8">
          <cell r="D8">
            <v>664.38467299051422</v>
          </cell>
        </row>
        <row r="9">
          <cell r="D9">
            <v>662.10996005991012</v>
          </cell>
        </row>
        <row r="10">
          <cell r="D10">
            <v>1066.5033699450823</v>
          </cell>
        </row>
        <row r="11">
          <cell r="D11">
            <v>54.508861707438832</v>
          </cell>
        </row>
        <row r="12">
          <cell r="D12">
            <v>445.16974538192704</v>
          </cell>
        </row>
        <row r="13">
          <cell r="D13">
            <v>588.64515726410377</v>
          </cell>
        </row>
        <row r="14">
          <cell r="D14">
            <v>518.63454817773345</v>
          </cell>
        </row>
        <row r="15">
          <cell r="D15">
            <v>680.22341487768358</v>
          </cell>
        </row>
        <row r="16">
          <cell r="D16">
            <v>1377.8020469296057</v>
          </cell>
        </row>
        <row r="17">
          <cell r="D17">
            <v>86.270594108836761</v>
          </cell>
        </row>
        <row r="18">
          <cell r="D18">
            <v>88.124063904143796</v>
          </cell>
        </row>
        <row r="19">
          <cell r="D19">
            <v>161.5888666999501</v>
          </cell>
        </row>
        <row r="20">
          <cell r="D20">
            <v>496.8984023964054</v>
          </cell>
        </row>
        <row r="21">
          <cell r="D21">
            <v>87.871318022965553</v>
          </cell>
        </row>
        <row r="22">
          <cell r="D22">
            <v>83.406140788816785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Comments"/>
      <sheetName val="040712"/>
      <sheetName val="050712"/>
      <sheetName val="060712"/>
      <sheetName val="Combined data"/>
      <sheetName val="A3-1=ISP1"/>
      <sheetName val="R2=ISP2-3"/>
      <sheetName val="E1=ISP4-5"/>
      <sheetName val="E3=ISP6-7"/>
      <sheetName val="F-L=ISP8-9"/>
      <sheetName val="E4W=ISP10"/>
      <sheetName val="E4E=ISP11"/>
      <sheetName val="A3-2=ISP12"/>
      <sheetName val="E5=ISP14-15"/>
      <sheetName val="pFe"/>
      <sheetName val="Bloom evolution"/>
      <sheetName val="dFe vs pFe"/>
      <sheetName val="Sourcing the Fe"/>
      <sheetName val="Nutrient relationships"/>
      <sheetName val="Things to 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8">
          <cell r="CC38">
            <v>0.49020868239705767</v>
          </cell>
          <cell r="DA38">
            <v>0.38614344015896496</v>
          </cell>
          <cell r="HU38">
            <v>0.45094202651272175</v>
          </cell>
          <cell r="IO38">
            <v>0.32811683500838995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"/>
  <sheetViews>
    <sheetView topLeftCell="H1" workbookViewId="0">
      <selection activeCell="P7" sqref="P7"/>
    </sheetView>
  </sheetViews>
  <sheetFormatPr baseColWidth="10" defaultColWidth="9.140625" defaultRowHeight="15" x14ac:dyDescent="0.25"/>
  <cols>
    <col min="2" max="2" width="11.140625" bestFit="1" customWidth="1"/>
    <col min="3" max="3" width="14" bestFit="1" customWidth="1"/>
    <col min="5" max="5" width="13.28515625" bestFit="1" customWidth="1"/>
    <col min="8" max="8" width="10.42578125" bestFit="1" customWidth="1"/>
    <col min="9" max="9" width="9" bestFit="1" customWidth="1"/>
    <col min="10" max="10" width="17.7109375" bestFit="1" customWidth="1"/>
    <col min="11" max="11" width="17.7109375" customWidth="1"/>
  </cols>
  <sheetData>
    <row r="1" spans="1:11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3" t="s">
        <v>107</v>
      </c>
      <c r="K3" s="3" t="s">
        <v>108</v>
      </c>
    </row>
    <row r="4" spans="1:11" x14ac:dyDescent="0.25">
      <c r="A4" s="2" t="s">
        <v>10</v>
      </c>
      <c r="B4" s="2" t="s">
        <v>11</v>
      </c>
      <c r="C4" s="110">
        <v>200</v>
      </c>
      <c r="D4" s="2" t="s">
        <v>12</v>
      </c>
      <c r="E4" s="6">
        <v>40834.038888888892</v>
      </c>
      <c r="F4" s="7" t="s">
        <v>13</v>
      </c>
      <c r="G4" s="7" t="s">
        <v>14</v>
      </c>
      <c r="H4" s="8" t="s">
        <v>15</v>
      </c>
      <c r="I4" s="8" t="s">
        <v>15</v>
      </c>
      <c r="J4" s="21" t="s">
        <v>316</v>
      </c>
      <c r="K4" s="21"/>
    </row>
    <row r="5" spans="1:11" x14ac:dyDescent="0.25">
      <c r="A5" s="2" t="s">
        <v>16</v>
      </c>
      <c r="B5" s="2"/>
      <c r="C5" s="24"/>
      <c r="D5" s="2" t="s">
        <v>17</v>
      </c>
      <c r="F5" s="7" t="s">
        <v>18</v>
      </c>
      <c r="G5" s="7" t="s">
        <v>18</v>
      </c>
      <c r="H5" s="9" t="s">
        <v>18</v>
      </c>
      <c r="I5" s="2"/>
      <c r="J5" s="15"/>
      <c r="K5" s="15"/>
    </row>
    <row r="6" spans="1:11" x14ac:dyDescent="0.25">
      <c r="A6" s="2" t="s">
        <v>16</v>
      </c>
      <c r="B6" s="2" t="s">
        <v>19</v>
      </c>
      <c r="C6" s="24" t="s">
        <v>20</v>
      </c>
      <c r="D6" s="2" t="s">
        <v>12</v>
      </c>
      <c r="E6" s="10">
        <v>40842.647916666669</v>
      </c>
      <c r="F6" s="7" t="s">
        <v>21</v>
      </c>
      <c r="G6" s="7" t="s">
        <v>22</v>
      </c>
      <c r="H6" s="11">
        <f>E7-E6</f>
        <v>0.91666666666424135</v>
      </c>
      <c r="I6" s="2">
        <v>3.8</v>
      </c>
      <c r="J6" s="15"/>
      <c r="K6" s="15"/>
    </row>
    <row r="7" spans="1:11" x14ac:dyDescent="0.25">
      <c r="A7" s="2" t="s">
        <v>16</v>
      </c>
      <c r="B7" s="2"/>
      <c r="C7" s="24" t="s">
        <v>101</v>
      </c>
      <c r="D7" s="2" t="s">
        <v>23</v>
      </c>
      <c r="E7" s="10">
        <v>40843.564583333333</v>
      </c>
      <c r="F7" s="7" t="s">
        <v>24</v>
      </c>
      <c r="G7" s="7" t="s">
        <v>25</v>
      </c>
      <c r="H7" s="12"/>
      <c r="J7" s="15"/>
      <c r="K7" s="15"/>
    </row>
    <row r="8" spans="1:11" x14ac:dyDescent="0.25">
      <c r="A8" s="2" t="s">
        <v>26</v>
      </c>
      <c r="B8" s="2" t="s">
        <v>19</v>
      </c>
      <c r="C8" s="24" t="s">
        <v>20</v>
      </c>
      <c r="D8" s="2" t="s">
        <v>12</v>
      </c>
      <c r="E8" s="13">
        <v>40844.958333333336</v>
      </c>
      <c r="F8" s="7" t="s">
        <v>27</v>
      </c>
      <c r="G8" s="7" t="s">
        <v>28</v>
      </c>
      <c r="H8" s="11">
        <f>E9-E8</f>
        <v>1.25</v>
      </c>
      <c r="I8" s="2">
        <v>2.9</v>
      </c>
      <c r="J8" s="15"/>
      <c r="K8" s="15"/>
    </row>
    <row r="9" spans="1:11" x14ac:dyDescent="0.25">
      <c r="A9" s="2" t="s">
        <v>26</v>
      </c>
      <c r="B9" s="2"/>
      <c r="C9" s="24" t="s">
        <v>102</v>
      </c>
      <c r="D9" s="2" t="s">
        <v>23</v>
      </c>
      <c r="E9" s="10">
        <v>40846.208333333336</v>
      </c>
      <c r="F9" s="7" t="s">
        <v>29</v>
      </c>
      <c r="G9" s="7" t="s">
        <v>30</v>
      </c>
      <c r="H9" s="12"/>
      <c r="I9" s="2"/>
      <c r="J9" s="15"/>
      <c r="K9" s="15"/>
    </row>
    <row r="10" spans="1:11" x14ac:dyDescent="0.25">
      <c r="A10" s="2" t="s">
        <v>26</v>
      </c>
      <c r="B10" s="2" t="s">
        <v>31</v>
      </c>
      <c r="C10" s="110">
        <v>200</v>
      </c>
      <c r="D10" s="2" t="s">
        <v>12</v>
      </c>
      <c r="E10" s="10">
        <v>40845.440972222219</v>
      </c>
      <c r="F10" s="7" t="s">
        <v>32</v>
      </c>
      <c r="G10" s="7" t="s">
        <v>33</v>
      </c>
      <c r="H10" s="11">
        <f>E11-E10</f>
        <v>5.3187500000058208</v>
      </c>
      <c r="I10" s="2">
        <v>35</v>
      </c>
      <c r="J10" s="21"/>
      <c r="K10" s="21"/>
    </row>
    <row r="11" spans="1:11" x14ac:dyDescent="0.25">
      <c r="A11" s="2" t="s">
        <v>34</v>
      </c>
      <c r="B11" s="14" t="s">
        <v>18</v>
      </c>
      <c r="C11" s="24"/>
      <c r="D11" s="2" t="s">
        <v>23</v>
      </c>
      <c r="E11" s="10">
        <v>40850.759722222225</v>
      </c>
      <c r="F11" s="7" t="s">
        <v>35</v>
      </c>
      <c r="G11" s="7" t="s">
        <v>36</v>
      </c>
      <c r="H11" s="12"/>
      <c r="I11" s="2"/>
      <c r="J11" s="15"/>
      <c r="K11" s="15"/>
    </row>
    <row r="12" spans="1:11" x14ac:dyDescent="0.25">
      <c r="A12" s="2" t="s">
        <v>34</v>
      </c>
      <c r="B12" s="2" t="s">
        <v>19</v>
      </c>
      <c r="C12" s="24" t="s">
        <v>103</v>
      </c>
      <c r="D12" s="2" t="s">
        <v>12</v>
      </c>
      <c r="E12" s="10">
        <v>40850.604166666664</v>
      </c>
      <c r="F12" s="7" t="s">
        <v>37</v>
      </c>
      <c r="G12" s="7" t="s">
        <v>38</v>
      </c>
      <c r="H12" s="11">
        <f>E13-E12</f>
        <v>1.0208333333357587</v>
      </c>
      <c r="I12" s="2">
        <v>4</v>
      </c>
      <c r="J12" s="15"/>
      <c r="K12" s="15"/>
    </row>
    <row r="13" spans="1:11" x14ac:dyDescent="0.25">
      <c r="A13" s="2" t="s">
        <v>34</v>
      </c>
      <c r="B13" s="2"/>
      <c r="C13" s="24" t="s">
        <v>104</v>
      </c>
      <c r="D13" s="2" t="s">
        <v>23</v>
      </c>
      <c r="E13" s="10">
        <v>40851.625</v>
      </c>
      <c r="F13" s="7" t="s">
        <v>39</v>
      </c>
      <c r="G13" s="7" t="s">
        <v>40</v>
      </c>
      <c r="H13" s="16"/>
      <c r="I13" s="2"/>
      <c r="J13" s="15"/>
      <c r="K13" s="15"/>
    </row>
    <row r="14" spans="1:11" x14ac:dyDescent="0.25">
      <c r="A14" s="2" t="s">
        <v>34</v>
      </c>
      <c r="B14" s="2" t="s">
        <v>31</v>
      </c>
      <c r="C14" s="110">
        <v>200</v>
      </c>
      <c r="D14" s="2" t="s">
        <v>12</v>
      </c>
      <c r="E14" s="10">
        <v>40852.327777777777</v>
      </c>
      <c r="F14" s="7" t="s">
        <v>41</v>
      </c>
      <c r="G14" s="7" t="s">
        <v>42</v>
      </c>
      <c r="H14" s="11">
        <f>E15-E14</f>
        <v>5.1145833333357587</v>
      </c>
      <c r="I14" s="2">
        <v>43</v>
      </c>
      <c r="J14" s="21"/>
      <c r="K14" s="21"/>
    </row>
    <row r="15" spans="1:11" x14ac:dyDescent="0.25">
      <c r="A15" s="2" t="s">
        <v>43</v>
      </c>
      <c r="B15" s="2"/>
      <c r="C15" s="24"/>
      <c r="D15" s="2" t="s">
        <v>23</v>
      </c>
      <c r="E15" s="10">
        <v>40857.442361111112</v>
      </c>
      <c r="F15" s="7" t="s">
        <v>44</v>
      </c>
      <c r="G15" s="7" t="s">
        <v>45</v>
      </c>
      <c r="H15" s="12"/>
      <c r="I15" s="2"/>
      <c r="J15" s="15"/>
      <c r="K15" s="15"/>
    </row>
    <row r="16" spans="1:11" x14ac:dyDescent="0.25">
      <c r="A16" s="17" t="s">
        <v>46</v>
      </c>
      <c r="B16" s="2" t="s">
        <v>19</v>
      </c>
      <c r="C16" s="24" t="s">
        <v>103</v>
      </c>
      <c r="D16" s="17" t="s">
        <v>12</v>
      </c>
      <c r="E16" s="10">
        <v>40853.604166666664</v>
      </c>
      <c r="F16" s="18" t="s">
        <v>47</v>
      </c>
      <c r="G16" s="18" t="s">
        <v>48</v>
      </c>
      <c r="H16" s="11">
        <f>E17-E16</f>
        <v>0.92152777777664596</v>
      </c>
      <c r="I16" s="17">
        <v>14.2</v>
      </c>
      <c r="J16" s="15"/>
      <c r="K16" s="15"/>
    </row>
    <row r="17" spans="1:11" x14ac:dyDescent="0.25">
      <c r="A17" s="2" t="s">
        <v>46</v>
      </c>
      <c r="B17" s="2"/>
      <c r="C17" s="24" t="s">
        <v>106</v>
      </c>
      <c r="D17" s="2" t="s">
        <v>23</v>
      </c>
      <c r="E17" s="10">
        <v>40854.525694444441</v>
      </c>
      <c r="F17" s="18" t="s">
        <v>49</v>
      </c>
      <c r="G17" s="18" t="s">
        <v>50</v>
      </c>
      <c r="H17" s="19"/>
      <c r="I17" s="2"/>
      <c r="J17" s="15"/>
      <c r="K17" s="15"/>
    </row>
    <row r="18" spans="1:11" x14ac:dyDescent="0.25">
      <c r="A18" s="2" t="s">
        <v>51</v>
      </c>
      <c r="B18" s="17" t="s">
        <v>52</v>
      </c>
      <c r="C18" s="110" t="s">
        <v>109</v>
      </c>
      <c r="D18" s="2" t="s">
        <v>12</v>
      </c>
      <c r="E18" s="10">
        <v>40862.894444444442</v>
      </c>
      <c r="F18" s="18" t="s">
        <v>53</v>
      </c>
      <c r="G18" s="18" t="s">
        <v>54</v>
      </c>
      <c r="H18" s="11">
        <f>E19-E18</f>
        <v>1.8458333333328483</v>
      </c>
      <c r="I18" s="2">
        <v>10.4</v>
      </c>
      <c r="J18" s="21"/>
      <c r="K18" s="21"/>
    </row>
    <row r="19" spans="1:11" x14ac:dyDescent="0.25">
      <c r="A19" s="2" t="s">
        <v>51</v>
      </c>
      <c r="B19" s="2"/>
      <c r="C19" s="24" t="s">
        <v>105</v>
      </c>
      <c r="D19" s="2" t="s">
        <v>23</v>
      </c>
      <c r="E19" s="10">
        <v>40864.740277777775</v>
      </c>
      <c r="F19" s="18" t="s">
        <v>55</v>
      </c>
      <c r="G19" s="18" t="s">
        <v>56</v>
      </c>
      <c r="H19" s="22"/>
      <c r="I19" s="2"/>
      <c r="J19" s="15"/>
      <c r="K19" s="15"/>
    </row>
    <row r="20" spans="1:11" x14ac:dyDescent="0.25">
      <c r="A20" s="2" t="s">
        <v>113</v>
      </c>
      <c r="B20" s="2" t="s">
        <v>19</v>
      </c>
      <c r="C20" s="24" t="s">
        <v>103</v>
      </c>
      <c r="D20" s="2" t="s">
        <v>12</v>
      </c>
      <c r="E20" s="10">
        <v>40865.576388888891</v>
      </c>
      <c r="F20" s="18" t="s">
        <v>57</v>
      </c>
      <c r="G20" s="18" t="s">
        <v>58</v>
      </c>
      <c r="H20" s="11">
        <f>E21-E20</f>
        <v>1.0604166666671517</v>
      </c>
      <c r="I20" s="2">
        <v>10.1</v>
      </c>
      <c r="J20" s="15"/>
      <c r="K20" s="15"/>
    </row>
    <row r="21" spans="1:11" x14ac:dyDescent="0.25">
      <c r="A21" s="2" t="s">
        <v>113</v>
      </c>
      <c r="B21" s="2"/>
      <c r="C21" s="24" t="s">
        <v>112</v>
      </c>
      <c r="D21" s="2" t="s">
        <v>23</v>
      </c>
      <c r="E21" s="10">
        <v>40866.636805555558</v>
      </c>
      <c r="F21" s="18" t="s">
        <v>59</v>
      </c>
      <c r="G21" s="18" t="s">
        <v>60</v>
      </c>
      <c r="H21" s="23"/>
      <c r="I21" s="2"/>
      <c r="J21" s="15"/>
      <c r="K21" s="15"/>
    </row>
    <row r="22" spans="1:11" x14ac:dyDescent="0.25">
      <c r="A22" s="2" t="s">
        <v>113</v>
      </c>
      <c r="B22" s="2" t="s">
        <v>11</v>
      </c>
      <c r="C22" s="24">
        <v>200</v>
      </c>
      <c r="D22" s="2" t="s">
        <v>12</v>
      </c>
      <c r="E22" s="10">
        <v>40865.612500000003</v>
      </c>
      <c r="F22" s="18" t="s">
        <v>61</v>
      </c>
      <c r="G22" s="18" t="s">
        <v>62</v>
      </c>
      <c r="H22" s="11">
        <f>E23-E22</f>
        <v>1.5499999999956344</v>
      </c>
      <c r="I22" s="2">
        <v>15.1</v>
      </c>
      <c r="J22" s="15"/>
      <c r="K22" s="15"/>
    </row>
    <row r="23" spans="1:11" x14ac:dyDescent="0.25">
      <c r="A23" s="25" t="s">
        <v>113</v>
      </c>
      <c r="B23" s="25" t="s">
        <v>18</v>
      </c>
      <c r="C23" s="54" t="s">
        <v>18</v>
      </c>
      <c r="D23" s="25" t="s">
        <v>23</v>
      </c>
      <c r="E23" s="55">
        <v>40867.162499999999</v>
      </c>
      <c r="F23" s="26" t="s">
        <v>63</v>
      </c>
      <c r="G23" s="56" t="s">
        <v>64</v>
      </c>
      <c r="H23" s="27"/>
      <c r="I23" s="25"/>
      <c r="J23" s="54"/>
      <c r="K23" s="54"/>
    </row>
    <row r="24" spans="1:11" x14ac:dyDescent="0.25">
      <c r="A24" s="20" t="s">
        <v>155</v>
      </c>
      <c r="B24" s="20"/>
      <c r="C24" s="20"/>
      <c r="D24" s="17"/>
      <c r="E24" s="17"/>
      <c r="F24" s="17"/>
      <c r="G24" s="17"/>
      <c r="H24" s="17"/>
      <c r="I24" s="17"/>
      <c r="J24" s="17"/>
      <c r="K24" s="17"/>
    </row>
    <row r="25" spans="1:11" x14ac:dyDescent="0.25">
      <c r="A25" s="2" t="s">
        <v>110</v>
      </c>
      <c r="B25" s="2"/>
      <c r="C25" s="2"/>
      <c r="D25" s="2"/>
      <c r="E25" s="2"/>
      <c r="F25" s="2"/>
      <c r="G25" s="2"/>
      <c r="H25" s="2"/>
      <c r="I25" s="2"/>
      <c r="J25" s="2"/>
      <c r="K25" s="2"/>
    </row>
  </sheetData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pane ySplit="4" topLeftCell="A53" activePane="bottomLeft" state="frozen"/>
      <selection pane="bottomLeft" activeCell="A70" sqref="A70"/>
    </sheetView>
  </sheetViews>
  <sheetFormatPr baseColWidth="10" defaultColWidth="9.140625" defaultRowHeight="15" x14ac:dyDescent="0.25"/>
  <cols>
    <col min="1" max="1" width="4.140625" customWidth="1"/>
    <col min="3" max="3" width="6.28515625" customWidth="1"/>
    <col min="4" max="4" width="6.42578125" customWidth="1"/>
    <col min="6" max="7" width="15.42578125" customWidth="1"/>
    <col min="8" max="8" width="9.28515625" customWidth="1"/>
    <col min="9" max="10" width="10.28515625" bestFit="1" customWidth="1"/>
    <col min="12" max="12" width="10.140625" style="106" customWidth="1"/>
    <col min="13" max="13" width="10.28515625" style="106" bestFit="1" customWidth="1"/>
    <col min="14" max="14" width="9.5703125" customWidth="1"/>
    <col min="17" max="18" width="10.5703125" bestFit="1" customWidth="1"/>
  </cols>
  <sheetData>
    <row r="1" spans="1:23" ht="15.75" x14ac:dyDescent="0.25">
      <c r="A1" s="28" t="s">
        <v>65</v>
      </c>
      <c r="B1" s="29"/>
      <c r="C1" s="29"/>
      <c r="D1" s="29"/>
      <c r="E1" s="29"/>
      <c r="F1" s="29"/>
      <c r="G1" s="29"/>
      <c r="H1" s="29"/>
      <c r="I1" s="30"/>
      <c r="J1" s="30"/>
      <c r="K1" s="29"/>
      <c r="L1" s="30"/>
      <c r="M1" s="30"/>
      <c r="N1" s="29"/>
      <c r="O1" s="29"/>
      <c r="P1" s="29"/>
    </row>
    <row r="2" spans="1:23" x14ac:dyDescent="0.25">
      <c r="A2" s="31" t="s">
        <v>66</v>
      </c>
      <c r="B2" s="31" t="s">
        <v>67</v>
      </c>
      <c r="C2" s="31" t="s">
        <v>66</v>
      </c>
      <c r="D2" s="31" t="s">
        <v>66</v>
      </c>
      <c r="E2" s="31" t="s">
        <v>67</v>
      </c>
      <c r="F2" s="31" t="s">
        <v>67</v>
      </c>
      <c r="G2" s="31" t="s">
        <v>167</v>
      </c>
      <c r="H2" s="31" t="s">
        <v>68</v>
      </c>
      <c r="I2" s="32" t="s">
        <v>69</v>
      </c>
      <c r="J2" s="32" t="s">
        <v>70</v>
      </c>
      <c r="K2" s="31" t="s">
        <v>71</v>
      </c>
      <c r="L2" s="32" t="s">
        <v>156</v>
      </c>
      <c r="M2" s="32" t="s">
        <v>157</v>
      </c>
      <c r="N2" s="31" t="s">
        <v>72</v>
      </c>
      <c r="O2" s="31" t="s">
        <v>73</v>
      </c>
      <c r="P2" s="31" t="s">
        <v>74</v>
      </c>
      <c r="Q2" s="31" t="s">
        <v>161</v>
      </c>
      <c r="R2" s="31" t="s">
        <v>159</v>
      </c>
      <c r="S2" s="31" t="s">
        <v>165</v>
      </c>
      <c r="V2" s="31" t="s">
        <v>312</v>
      </c>
    </row>
    <row r="3" spans="1:23" x14ac:dyDescent="0.25">
      <c r="A3" s="31" t="s">
        <v>75</v>
      </c>
      <c r="B3" s="31" t="s">
        <v>76</v>
      </c>
      <c r="C3" s="31" t="s">
        <v>76</v>
      </c>
      <c r="D3" s="31" t="s">
        <v>77</v>
      </c>
      <c r="E3" s="31" t="s">
        <v>78</v>
      </c>
      <c r="F3" s="31" t="s">
        <v>79</v>
      </c>
      <c r="G3" s="31" t="s">
        <v>80</v>
      </c>
      <c r="H3" s="31" t="s">
        <v>80</v>
      </c>
      <c r="I3" s="32" t="s">
        <v>80</v>
      </c>
      <c r="J3" s="32" t="s">
        <v>80</v>
      </c>
      <c r="K3" s="32" t="s">
        <v>80</v>
      </c>
      <c r="L3" s="32" t="s">
        <v>80</v>
      </c>
      <c r="M3" s="32" t="s">
        <v>80</v>
      </c>
      <c r="N3" s="31" t="s">
        <v>81</v>
      </c>
      <c r="O3" s="31" t="s">
        <v>81</v>
      </c>
      <c r="P3" s="31" t="s">
        <v>81</v>
      </c>
      <c r="Q3" s="31" t="s">
        <v>81</v>
      </c>
      <c r="R3" s="31" t="s">
        <v>81</v>
      </c>
      <c r="S3" s="31" t="s">
        <v>81</v>
      </c>
      <c r="V3" s="31" t="s">
        <v>313</v>
      </c>
    </row>
    <row r="4" spans="1:23" ht="16.5" x14ac:dyDescent="0.25">
      <c r="A4" s="33" t="s">
        <v>82</v>
      </c>
      <c r="B4" s="33" t="s">
        <v>83</v>
      </c>
      <c r="C4" s="33" t="s">
        <v>84</v>
      </c>
      <c r="D4" s="33" t="s">
        <v>85</v>
      </c>
      <c r="E4" s="33" t="s">
        <v>86</v>
      </c>
      <c r="F4" s="33" t="s">
        <v>87</v>
      </c>
      <c r="G4" s="33" t="s">
        <v>168</v>
      </c>
      <c r="H4" s="33" t="s">
        <v>150</v>
      </c>
      <c r="I4" s="33" t="s">
        <v>150</v>
      </c>
      <c r="J4" s="33" t="s">
        <v>150</v>
      </c>
      <c r="K4" s="33" t="s">
        <v>88</v>
      </c>
      <c r="L4" s="33" t="s">
        <v>88</v>
      </c>
      <c r="M4" s="33" t="s">
        <v>158</v>
      </c>
      <c r="N4" s="33" t="s">
        <v>89</v>
      </c>
      <c r="O4" s="33" t="s">
        <v>89</v>
      </c>
      <c r="P4" s="33" t="s">
        <v>89</v>
      </c>
      <c r="Q4" s="33" t="s">
        <v>226</v>
      </c>
      <c r="R4" s="33" t="s">
        <v>160</v>
      </c>
      <c r="S4" s="33" t="s">
        <v>166</v>
      </c>
      <c r="V4" s="149" t="s">
        <v>310</v>
      </c>
      <c r="W4" s="149" t="s">
        <v>311</v>
      </c>
    </row>
    <row r="5" spans="1:23" x14ac:dyDescent="0.25">
      <c r="A5" s="34" t="s">
        <v>90</v>
      </c>
      <c r="B5" s="35"/>
      <c r="C5" s="35"/>
      <c r="D5" s="35"/>
      <c r="E5" s="35"/>
      <c r="F5" s="35"/>
      <c r="G5" s="35"/>
      <c r="H5" s="35"/>
      <c r="I5" s="36"/>
      <c r="J5" s="36"/>
      <c r="K5" s="35"/>
      <c r="L5" s="36"/>
      <c r="M5" s="36"/>
      <c r="N5" s="35"/>
      <c r="O5" s="35"/>
      <c r="P5" s="35"/>
    </row>
    <row r="6" spans="1:23" x14ac:dyDescent="0.25">
      <c r="A6" s="17">
        <v>1</v>
      </c>
      <c r="B6" s="37">
        <v>40845</v>
      </c>
      <c r="C6" s="38">
        <v>0.54166666666666663</v>
      </c>
      <c r="D6" s="17">
        <v>12</v>
      </c>
      <c r="E6" s="17" t="s">
        <v>91</v>
      </c>
      <c r="F6" s="24" t="s">
        <v>92</v>
      </c>
      <c r="G6" s="145"/>
      <c r="H6" s="118"/>
      <c r="I6" s="48"/>
      <c r="J6" s="48"/>
      <c r="K6" s="118"/>
      <c r="L6" s="48">
        <f>((DatafromPier!S4/1000)/0.125)/('TrapsTable2-Fluxes'!D6/24)</f>
        <v>2.4905530467169235</v>
      </c>
      <c r="M6" s="48"/>
      <c r="N6" s="118" t="s">
        <v>18</v>
      </c>
      <c r="O6" s="118" t="s">
        <v>18</v>
      </c>
      <c r="P6" s="118" t="s">
        <v>18</v>
      </c>
      <c r="Q6" s="115">
        <f>H8/L6</f>
        <v>4.0132421962324978</v>
      </c>
      <c r="R6" s="115"/>
      <c r="S6" s="115"/>
      <c r="V6">
        <v>9.9951925790397649</v>
      </c>
      <c r="W6" s="115">
        <v>4.0132421962324978</v>
      </c>
    </row>
    <row r="7" spans="1:23" x14ac:dyDescent="0.25">
      <c r="A7" s="17">
        <f>A6+1</f>
        <v>2</v>
      </c>
      <c r="B7" s="37">
        <v>40846</v>
      </c>
      <c r="C7" s="38">
        <v>4.1666666666666664E-2</v>
      </c>
      <c r="D7" s="17">
        <v>12</v>
      </c>
      <c r="E7" s="17" t="s">
        <v>91</v>
      </c>
      <c r="F7" s="41" t="s">
        <v>92</v>
      </c>
      <c r="G7" s="146"/>
      <c r="H7" s="118" t="s">
        <v>18</v>
      </c>
      <c r="I7" s="48"/>
      <c r="J7" s="48"/>
      <c r="K7" s="118" t="s">
        <v>18</v>
      </c>
      <c r="L7" s="48">
        <f>((DatafromPier!S5/1000)/0.125)/('TrapsTable2-Fluxes'!D7/24)</f>
        <v>6.051518111984528</v>
      </c>
      <c r="M7" s="48"/>
      <c r="N7" s="118" t="s">
        <v>18</v>
      </c>
      <c r="O7" s="118" t="s">
        <v>18</v>
      </c>
      <c r="P7" s="118" t="s">
        <v>18</v>
      </c>
      <c r="Q7" s="115">
        <f>H9/L7</f>
        <v>1.4193413046683083</v>
      </c>
      <c r="R7" s="115"/>
      <c r="S7" s="115"/>
      <c r="V7">
        <v>8.5891696122880177</v>
      </c>
      <c r="W7" s="115">
        <v>1.4193413046683083</v>
      </c>
    </row>
    <row r="8" spans="1:23" x14ac:dyDescent="0.25">
      <c r="A8" s="17">
        <f>A7+1</f>
        <v>3</v>
      </c>
      <c r="B8" s="37">
        <v>40846</v>
      </c>
      <c r="C8" s="38">
        <v>0.54166666666666663</v>
      </c>
      <c r="D8" s="17">
        <v>12</v>
      </c>
      <c r="E8" s="17" t="s">
        <v>93</v>
      </c>
      <c r="F8" s="41" t="s">
        <v>94</v>
      </c>
      <c r="G8" s="48">
        <f>DatafromDiana!D5/0.125/($D8/24)/1000</f>
        <v>2.552</v>
      </c>
      <c r="H8" s="48">
        <f>DatafromDiana!H5/0.125/($D8/24)/1000</f>
        <v>9.9951925790397649</v>
      </c>
      <c r="I8" s="48">
        <f>DatafromDiana!G5/0.125/($D8/24)/1000</f>
        <v>1.4611044849011832</v>
      </c>
      <c r="J8" s="39">
        <f>[1]DatafromStevo!D6/0.125/($D8/24)/1000</f>
        <v>34.442186719920116</v>
      </c>
      <c r="K8" s="48">
        <f>DatafromDiana!K5/0.125/($D8/24)/1000</f>
        <v>9.8397602397602407E-3</v>
      </c>
      <c r="L8" s="144"/>
      <c r="M8" s="120">
        <f>DatafromFred!G5</f>
        <v>722.17679921768149</v>
      </c>
      <c r="N8" s="48">
        <f>H8/I8</f>
        <v>6.8408472373662965</v>
      </c>
      <c r="O8" s="48">
        <f>H8/J8</f>
        <v>0.29020203218568891</v>
      </c>
      <c r="P8" s="233">
        <f>H8/K8</f>
        <v>1015.7963543310188</v>
      </c>
      <c r="Q8" s="115"/>
      <c r="R8" s="214">
        <f>1000*H8/M8</f>
        <v>13.840367884799596</v>
      </c>
      <c r="S8" s="115">
        <f>H8*12/G8/1000</f>
        <v>4.6999338145955E-2</v>
      </c>
      <c r="V8">
        <v>5.3932852548306878</v>
      </c>
      <c r="W8" s="115">
        <v>1.0339288380697511</v>
      </c>
    </row>
    <row r="9" spans="1:23" x14ac:dyDescent="0.25">
      <c r="A9" s="17">
        <f t="shared" ref="A9:A17" si="0">A8+1</f>
        <v>4</v>
      </c>
      <c r="B9" s="37">
        <v>40847</v>
      </c>
      <c r="C9" s="38">
        <v>4.1666666666666664E-2</v>
      </c>
      <c r="D9" s="17">
        <v>12</v>
      </c>
      <c r="E9" s="17" t="s">
        <v>93</v>
      </c>
      <c r="F9" s="41" t="s">
        <v>94</v>
      </c>
      <c r="G9" s="48">
        <f>DatafromDiana!D7/0.125/($D9/24)/1000</f>
        <v>2.3424</v>
      </c>
      <c r="H9" s="48">
        <f>DatafromDiana!H7/0.125/($D9/24)/1000</f>
        <v>8.5891696122880177</v>
      </c>
      <c r="I9" s="48">
        <f>DatafromDiana!G7/0.125/($D9/24)/1000</f>
        <v>1.2199650954383343</v>
      </c>
      <c r="J9" s="39">
        <f>[1]DatafromStevo!D7/0.125/($D9/24)/1000</f>
        <v>32.397304043934099</v>
      </c>
      <c r="K9" s="48">
        <f>DatafromDiana!K7/0.125/($D9/24)/1000</f>
        <v>9.7502497502497507E-5</v>
      </c>
      <c r="L9" s="144"/>
      <c r="M9" s="120">
        <f>DatafromFred!G6</f>
        <v>675.40237216325534</v>
      </c>
      <c r="N9" s="48">
        <f>H9/I9</f>
        <v>7.0405043918096055</v>
      </c>
      <c r="O9" s="48">
        <f>H9/J9</f>
        <v>0.2651198877733843</v>
      </c>
      <c r="P9" s="233">
        <f>H9/K9</f>
        <v>88091.790798158865</v>
      </c>
      <c r="Q9" s="115"/>
      <c r="R9" s="214">
        <f>1000*H9/M9</f>
        <v>12.717114961822908</v>
      </c>
      <c r="S9" s="115">
        <f>H9*12/G9/1000</f>
        <v>4.4001893505573861E-2</v>
      </c>
      <c r="V9">
        <v>3.6013750804558504</v>
      </c>
      <c r="W9" s="115">
        <v>0.63249094075625212</v>
      </c>
    </row>
    <row r="10" spans="1:23" x14ac:dyDescent="0.25">
      <c r="A10" s="17">
        <f t="shared" si="0"/>
        <v>5</v>
      </c>
      <c r="B10" s="37">
        <v>40847</v>
      </c>
      <c r="C10" s="38">
        <v>0.54166666666666663</v>
      </c>
      <c r="D10" s="17">
        <v>12</v>
      </c>
      <c r="E10" s="17" t="s">
        <v>91</v>
      </c>
      <c r="F10" s="24" t="s">
        <v>92</v>
      </c>
      <c r="G10" s="48"/>
      <c r="H10" s="48"/>
      <c r="I10" s="48"/>
      <c r="K10" s="48"/>
      <c r="L10" s="48">
        <f>((DatafromPier!S6/1000)/0.125)/('TrapsTable2-Fluxes'!D10/24)</f>
        <v>5.2163021827492972</v>
      </c>
      <c r="M10" s="212"/>
      <c r="N10" s="48" t="s">
        <v>18</v>
      </c>
      <c r="O10" s="48"/>
      <c r="P10" s="48"/>
      <c r="Q10" s="115">
        <f>H12/L10</f>
        <v>1.0339288380697511</v>
      </c>
      <c r="R10" s="115"/>
      <c r="S10" s="115"/>
      <c r="V10">
        <v>7.531645593845723</v>
      </c>
      <c r="W10" s="115">
        <v>2.1865297288407803</v>
      </c>
    </row>
    <row r="11" spans="1:23" x14ac:dyDescent="0.25">
      <c r="A11" s="17">
        <f t="shared" si="0"/>
        <v>6</v>
      </c>
      <c r="B11" s="37">
        <v>40848</v>
      </c>
      <c r="C11" s="38">
        <v>4.1666666666666664E-2</v>
      </c>
      <c r="D11" s="17">
        <v>12</v>
      </c>
      <c r="E11" s="17" t="s">
        <v>91</v>
      </c>
      <c r="F11" s="41" t="s">
        <v>92</v>
      </c>
      <c r="G11" s="48"/>
      <c r="H11" s="48"/>
      <c r="I11" s="48"/>
      <c r="K11" s="48"/>
      <c r="L11" s="48">
        <f>((DatafromPier!S7/1000)/0.125)/('TrapsTable2-Fluxes'!D11/24)</f>
        <v>5.6939551990259094</v>
      </c>
      <c r="M11" s="212"/>
      <c r="N11" s="48" t="s">
        <v>18</v>
      </c>
      <c r="O11" s="48"/>
      <c r="P11" s="48"/>
      <c r="Q11" s="115">
        <f>H13/L11</f>
        <v>0.63249094075625212</v>
      </c>
      <c r="R11" s="115"/>
      <c r="S11" s="115"/>
    </row>
    <row r="12" spans="1:23" x14ac:dyDescent="0.25">
      <c r="A12" s="17">
        <f t="shared" si="0"/>
        <v>7</v>
      </c>
      <c r="B12" s="37">
        <v>40848</v>
      </c>
      <c r="C12" s="38">
        <v>0.54166666666666663</v>
      </c>
      <c r="D12" s="17">
        <v>12</v>
      </c>
      <c r="E12" s="17" t="s">
        <v>91</v>
      </c>
      <c r="F12" s="41" t="s">
        <v>94</v>
      </c>
      <c r="G12" s="48">
        <f>DatafromDiana!D9/0.125/($D12/24)/1000</f>
        <v>1.1435483870967742</v>
      </c>
      <c r="H12" s="48">
        <f>DatafromDiana!H9/0.125/($D12/24)/1000</f>
        <v>5.3932852548306878</v>
      </c>
      <c r="I12" s="48">
        <f>DatafromDiana!G9/0.125/($D12/24)/1000</f>
        <v>0.71300986047491666</v>
      </c>
      <c r="J12" s="39">
        <f>[1]DatafromStevo!D8/0.125/($D10/24)/1000</f>
        <v>10.630154767848227</v>
      </c>
      <c r="K12" s="48">
        <f>DatafromDiana!K9/0.125/($D12/24)/1000</f>
        <v>0.82533503809043585</v>
      </c>
      <c r="L12" s="144"/>
      <c r="M12" s="120">
        <f>DatafromFred!G7</f>
        <v>869.15901176865236</v>
      </c>
      <c r="N12" s="48">
        <f>H12/I12</f>
        <v>7.5641103353582881</v>
      </c>
      <c r="O12" s="48">
        <f>H12/J12</f>
        <v>0.5073571714254923</v>
      </c>
      <c r="P12" s="48">
        <f>H12/K12</f>
        <v>6.5346616900077859</v>
      </c>
      <c r="Q12" s="115"/>
      <c r="R12" s="214">
        <f t="shared" ref="R12:R13" si="1">1000*H12/M12</f>
        <v>6.2051767073735871</v>
      </c>
      <c r="S12" s="115">
        <f>H12*12/G12/1000</f>
        <v>5.659526416916829E-2</v>
      </c>
      <c r="V12">
        <f>COVAR(V6:V10,W6:W10)</f>
        <v>2.2844231063423353</v>
      </c>
    </row>
    <row r="13" spans="1:23" x14ac:dyDescent="0.25">
      <c r="A13" s="17">
        <f t="shared" si="0"/>
        <v>8</v>
      </c>
      <c r="B13" s="37">
        <v>40849</v>
      </c>
      <c r="C13" s="38">
        <v>4.1666666666666664E-2</v>
      </c>
      <c r="D13" s="17">
        <v>12</v>
      </c>
      <c r="E13" s="17" t="s">
        <v>91</v>
      </c>
      <c r="F13" s="41" t="s">
        <v>94</v>
      </c>
      <c r="G13" s="48">
        <f>DatafromDiana!D11/0.125/($D13/24)/1000</f>
        <v>1.0586345381526105</v>
      </c>
      <c r="H13" s="48">
        <f>DatafromDiana!H11/0.125/($D13/24)/1000</f>
        <v>3.6013750804558504</v>
      </c>
      <c r="I13" s="48">
        <f>DatafromDiana!G11/0.125/($D13/24)/1000</f>
        <v>0.60115278556046048</v>
      </c>
      <c r="J13" s="39">
        <f>[1]DatafromStevo!D9/0.125/($D11/24)/1000</f>
        <v>10.593759360958561</v>
      </c>
      <c r="K13" s="48">
        <f>DatafromDiana!K11/0.125/($D13/24)/1000</f>
        <v>0.58011388544282583</v>
      </c>
      <c r="L13" s="144"/>
      <c r="M13" s="120">
        <f>DatafromFred!G8</f>
        <v>826.41846628225949</v>
      </c>
      <c r="N13" s="48">
        <f>H13/I13</f>
        <v>5.9907816564440504</v>
      </c>
      <c r="O13" s="48">
        <f>H13/J13</f>
        <v>0.3399525095621943</v>
      </c>
      <c r="P13" s="48">
        <f>H13/K13</f>
        <v>6.2080484036453747</v>
      </c>
      <c r="Q13" s="115"/>
      <c r="R13" s="214">
        <f t="shared" si="1"/>
        <v>4.3578105129439555</v>
      </c>
      <c r="S13" s="115">
        <f>H13*12/G13/1000</f>
        <v>4.0822870790599694E-2</v>
      </c>
    </row>
    <row r="14" spans="1:23" x14ac:dyDescent="0.25">
      <c r="A14" s="17">
        <f t="shared" si="0"/>
        <v>9</v>
      </c>
      <c r="B14" s="37">
        <v>40849</v>
      </c>
      <c r="C14" s="38">
        <v>0.54166666666666663</v>
      </c>
      <c r="D14" s="17">
        <v>12</v>
      </c>
      <c r="E14" s="17" t="s">
        <v>91</v>
      </c>
      <c r="F14" s="41" t="s">
        <v>92</v>
      </c>
      <c r="G14" s="48"/>
      <c r="H14" s="48"/>
      <c r="I14" s="48"/>
      <c r="K14" s="48"/>
      <c r="L14" s="48">
        <f>((DatafromPier!S8/1000)/0.125)/('TrapsTable2-Fluxes'!D14/24)</f>
        <v>3.444565831647179</v>
      </c>
      <c r="M14" s="212"/>
      <c r="N14" s="48" t="s">
        <v>18</v>
      </c>
      <c r="O14" s="48"/>
      <c r="P14" s="48"/>
      <c r="Q14" s="115">
        <f>H15/L14</f>
        <v>2.1865297288407803</v>
      </c>
      <c r="R14" s="115"/>
      <c r="S14" s="115"/>
    </row>
    <row r="15" spans="1:23" x14ac:dyDescent="0.25">
      <c r="A15" s="17">
        <f t="shared" si="0"/>
        <v>10</v>
      </c>
      <c r="B15" s="37">
        <v>40850</v>
      </c>
      <c r="C15" s="38">
        <v>4.1666666666666664E-2</v>
      </c>
      <c r="D15" s="17">
        <v>12</v>
      </c>
      <c r="E15" s="17" t="s">
        <v>91</v>
      </c>
      <c r="F15" s="41" t="s">
        <v>94</v>
      </c>
      <c r="G15" s="48">
        <f>DatafromDiana!D13/0.125/($D15/24)/1000</f>
        <v>1.7172690763052207</v>
      </c>
      <c r="H15" s="48">
        <f>DatafromDiana!H13/0.125/($D15/24)/1000</f>
        <v>7.531645593845723</v>
      </c>
      <c r="I15" s="48">
        <f>DatafromDiana!G13/0.125/($D15/24)/1000</f>
        <v>1.0964757520678072</v>
      </c>
      <c r="J15" s="39">
        <f>[1]DatafromStevo!D10/0.125/($D15/24)/1000</f>
        <v>17.064053919121317</v>
      </c>
      <c r="K15" s="48">
        <f>DatafromDiana!K13/0.125/($D15/24)/1000</f>
        <v>0.66645754163924709</v>
      </c>
      <c r="L15" s="144"/>
      <c r="M15" s="120">
        <f>DatafromFred!G9</f>
        <v>1311.4914665533274</v>
      </c>
      <c r="N15" s="48">
        <f>H15/I15</f>
        <v>6.8689577308408714</v>
      </c>
      <c r="O15" s="48">
        <f>H15/J15</f>
        <v>0.44137492940092349</v>
      </c>
      <c r="P15" s="48">
        <f>H15/K15</f>
        <v>11.301013377867358</v>
      </c>
      <c r="Q15" s="115"/>
      <c r="R15" s="214">
        <f>1000*H15/M15</f>
        <v>5.7428094546732407</v>
      </c>
      <c r="S15" s="115">
        <f>H15*12/G15/1000</f>
        <v>5.2629927582813429E-2</v>
      </c>
    </row>
    <row r="16" spans="1:23" x14ac:dyDescent="0.25">
      <c r="A16" s="17">
        <f t="shared" si="0"/>
        <v>11</v>
      </c>
      <c r="B16" s="37">
        <v>40850</v>
      </c>
      <c r="C16" s="38">
        <v>4.1666666666666664E-2</v>
      </c>
      <c r="D16" s="107" t="s">
        <v>152</v>
      </c>
      <c r="E16" s="17" t="s">
        <v>91</v>
      </c>
      <c r="F16" s="41" t="s">
        <v>92</v>
      </c>
      <c r="G16" s="48"/>
      <c r="H16" s="48"/>
      <c r="I16" s="48"/>
      <c r="K16" s="48"/>
      <c r="L16" s="144"/>
      <c r="M16" s="48"/>
      <c r="N16" s="48" t="s">
        <v>18</v>
      </c>
      <c r="O16" s="48"/>
      <c r="P16" s="48"/>
      <c r="Q16" s="115"/>
      <c r="R16" s="115"/>
      <c r="S16" s="115"/>
    </row>
    <row r="17" spans="1:21" x14ac:dyDescent="0.25">
      <c r="A17" s="17">
        <f t="shared" si="0"/>
        <v>12</v>
      </c>
      <c r="B17" s="37">
        <v>40850</v>
      </c>
      <c r="C17" s="38">
        <v>4.1666666666666664E-2</v>
      </c>
      <c r="D17" s="107" t="s">
        <v>152</v>
      </c>
      <c r="E17" s="17" t="s">
        <v>91</v>
      </c>
      <c r="F17" s="41" t="s">
        <v>94</v>
      </c>
      <c r="G17" s="104" t="s">
        <v>18</v>
      </c>
      <c r="H17" s="104">
        <f>DatafromDiana!H15/0.125/(12/24)/1000</f>
        <v>1.856746177133372E-3</v>
      </c>
      <c r="I17" s="104">
        <f>DatafromDiana!G15/0.125/(12/24)/1000</f>
        <v>4.8072677209367074E-4</v>
      </c>
      <c r="K17" s="104">
        <f>DatafromDiana!K15/0.125/(12/24)/1000</f>
        <v>1.6000000000000001E-4</v>
      </c>
      <c r="L17" s="144"/>
      <c r="M17" s="48"/>
      <c r="N17" s="104">
        <f>H17/I17</f>
        <v>3.8623731502342471</v>
      </c>
      <c r="O17" s="48" t="s">
        <v>18</v>
      </c>
      <c r="P17" s="48">
        <f>H17/K17</f>
        <v>11.604663607083575</v>
      </c>
      <c r="Q17" s="115"/>
      <c r="R17" s="115"/>
      <c r="S17" s="115" t="s">
        <v>18</v>
      </c>
    </row>
    <row r="18" spans="1:21" x14ac:dyDescent="0.25">
      <c r="A18" s="29"/>
      <c r="B18" s="43" t="s">
        <v>18</v>
      </c>
      <c r="C18" s="44"/>
      <c r="D18" s="29"/>
      <c r="E18" s="29"/>
      <c r="F18" s="45" t="s">
        <v>95</v>
      </c>
      <c r="G18" s="50">
        <f>($D8*G8+$D9*G9+$D12*G12+$D13*G13+$D15*G15)/($D8+$D9+$D12+$D13+$D15)</f>
        <v>1.762770400310921</v>
      </c>
      <c r="H18" s="50">
        <f>($D8*H8+$D9*H9+$D12*H12+$D13*H13+$D15*H15)/($D8+$D9+$D12+$D13+$D15)</f>
        <v>7.0221336240920094</v>
      </c>
      <c r="I18" s="50">
        <f>($D8*I8+$D9*I9+$D12*I12+$D13*I13+$D15*I15)/($D8+$D9+$D12+$D13+$D15)</f>
        <v>1.0183415956885404</v>
      </c>
      <c r="J18" s="50">
        <f>($D8*J8+$D9*J9+$D12*J12+$D13*J13+$D15*J15)/($D8+$D9+$D12+$D13+$D15)</f>
        <v>21.025491762356463</v>
      </c>
      <c r="K18" s="50">
        <f>($D8*K8+$D12*K12+$D13*K13+$D15*K15)/($D8+$D12+$D13+$D15)</f>
        <v>0.52043655635306729</v>
      </c>
      <c r="L18" s="50">
        <f>($D6*L6+$D7*L7+$D10*L10+$D11*L11+$D14*L14)/($D6+$D7+$D10+$D11+$D14)</f>
        <v>4.5793788744247674</v>
      </c>
      <c r="M18" s="30">
        <f>($D8*M8+$D9*M9+$D12*M12+$D13*M13+$D15*M15)/($D8+$D9+$D12+$D13+$D15)</f>
        <v>880.92962319703531</v>
      </c>
      <c r="N18" s="235">
        <f>$H18/I18</f>
        <v>6.8956562845143052</v>
      </c>
      <c r="O18" s="235">
        <f t="shared" ref="O18:Q18" si="2">$H18/J18</f>
        <v>0.33398189699725689</v>
      </c>
      <c r="P18" s="235">
        <f t="shared" si="2"/>
        <v>13.492775513886368</v>
      </c>
      <c r="Q18" s="235">
        <f t="shared" si="2"/>
        <v>1.533424906881959</v>
      </c>
      <c r="R18" s="236">
        <f>1000*H18/M18</f>
        <v>7.9712765233249359</v>
      </c>
      <c r="S18" s="237">
        <f>H18*12/G18/1000</f>
        <v>4.7802937622642844E-2</v>
      </c>
    </row>
    <row r="19" spans="1:21" x14ac:dyDescent="0.25">
      <c r="A19" s="29"/>
      <c r="B19" s="29"/>
      <c r="C19" s="29"/>
      <c r="D19" s="29"/>
      <c r="E19" s="29"/>
      <c r="F19" s="46" t="s">
        <v>96</v>
      </c>
      <c r="G19" s="50">
        <f>SQRT(1/($D8+$D9+$D12+$D13+$D15)*($D8*(G8-G18)^2+$D9*(G9-G18)^2+$D12*(G12-G18)^2+$D13*(G13-G18)^2+$D15*(G15-G18)^2))</f>
        <v>0.60665763299801734</v>
      </c>
      <c r="H19" s="50">
        <f>SQRT(1/($D8+$D9+$D12+$D13+$D15)*($D8*(H8-H18)^2+$D9*(H9-H18)^2+$D12*(H12-H18)^2+$D13*(H13-H18)^2+$D15*(H15-H18)^2))</f>
        <v>2.2763576085107466</v>
      </c>
      <c r="I19" s="50">
        <f>SQRT(1/($D8+$D9+$D12+$D13+$D15)*($D8*(I8-I18)^2+$D9*(I9-I18)^2+$D12*(I12-I18)^2+$D13*(I13-I18)^2+$D15*(I15-I18)^2))</f>
        <v>0.31939628361426731</v>
      </c>
      <c r="J19" s="50">
        <f>SQRT(1/($D8+$D9+$D12+$D13+$D15)*($D8*(J8-J18)^2+$D9*(J9-J18)^2+$D12*(J12-J18)^2+$D13*(J13-J18)^2+$D15*(J15-J18)^2))</f>
        <v>10.410599214851523</v>
      </c>
      <c r="K19" s="50">
        <f>SQRT(1/($D8+$D12+$D13+$D15)*($D8*(K8-K18)^2+$D12*(K12-K18)^2+$D13*(K13-K18)^2+$D15*(K15-K18)^2))</f>
        <v>0.30763439506911472</v>
      </c>
      <c r="L19" s="50">
        <f>SQRT(1/($D6+$D7+$D10+$D11+$D14)*($D6*(L6-L18)^2+$D7*(L7-L18)^2+$D10*(L10-L18)^2+$D11*(L11-L18)^2+$D14*(L14-L18)^2))</f>
        <v>1.3759461907624859</v>
      </c>
      <c r="M19" s="30">
        <f>SQRT(1/($D8+$D9+$D12+$D13+$D15)*($D8*(M8-M18)^2+$D9*(M9-M18)^2+$D12*(M12-M18)^2+$D13*(M13-M18)^2+$D15*(M15-M18)^2))</f>
        <v>226.24651357087279</v>
      </c>
      <c r="N19" s="234">
        <f>STDEV(N8:N15)</f>
        <v>0.56664260937588262</v>
      </c>
      <c r="O19" s="234">
        <f t="shared" ref="O19:S19" si="3">STDEV(O8:O15)</f>
        <v>0.10274311904316963</v>
      </c>
      <c r="P19" s="238" t="s">
        <v>314</v>
      </c>
      <c r="Q19" s="234">
        <f>STDEV(Q6:Q14)</f>
        <v>1.3347643894667747</v>
      </c>
      <c r="R19" s="239">
        <f t="shared" si="3"/>
        <v>4.3675863110636497</v>
      </c>
      <c r="S19" s="234">
        <f t="shared" si="3"/>
        <v>6.3951535414340614E-3</v>
      </c>
    </row>
    <row r="20" spans="1:21" x14ac:dyDescent="0.25">
      <c r="A20" s="47" t="s">
        <v>97</v>
      </c>
      <c r="B20" s="17"/>
      <c r="C20" s="17"/>
      <c r="D20" s="17"/>
      <c r="E20" s="47"/>
      <c r="F20" s="17"/>
      <c r="G20" s="17"/>
      <c r="H20" s="17" t="s">
        <v>18</v>
      </c>
      <c r="I20" s="39"/>
      <c r="K20" s="17" t="s">
        <v>18</v>
      </c>
      <c r="L20" s="48"/>
      <c r="M20" s="120"/>
      <c r="N20" s="121"/>
      <c r="O20" s="53"/>
      <c r="P20" s="120"/>
      <c r="Q20" s="122"/>
    </row>
    <row r="21" spans="1:21" x14ac:dyDescent="0.25">
      <c r="A21" s="17">
        <v>1</v>
      </c>
      <c r="B21" s="37">
        <v>40852</v>
      </c>
      <c r="C21" s="38">
        <v>0.29166666666666669</v>
      </c>
      <c r="D21" s="17">
        <v>1</v>
      </c>
      <c r="E21" s="17" t="s">
        <v>91</v>
      </c>
      <c r="F21" s="24" t="s">
        <v>92</v>
      </c>
      <c r="I21" s="39" t="s">
        <v>18</v>
      </c>
      <c r="L21" s="48">
        <f>((DatafromPier!S9/1000)/0.125)/('TrapsTable2-Fluxes'!D21/24)</f>
        <v>0.97975712213726784</v>
      </c>
      <c r="M21" s="120"/>
      <c r="N21" s="40" t="s">
        <v>18</v>
      </c>
      <c r="O21" s="40" t="s">
        <v>18</v>
      </c>
      <c r="P21" s="120"/>
      <c r="Q21" s="81">
        <f>H23/L21</f>
        <v>3.4829167629324167</v>
      </c>
    </row>
    <row r="22" spans="1:21" x14ac:dyDescent="0.25">
      <c r="A22" s="17">
        <f>A21+1</f>
        <v>2</v>
      </c>
      <c r="B22" s="37">
        <v>40852</v>
      </c>
      <c r="C22" s="38">
        <v>0.33333333333333331</v>
      </c>
      <c r="D22" s="17">
        <v>8</v>
      </c>
      <c r="E22" s="17" t="s">
        <v>91</v>
      </c>
      <c r="F22" s="24" t="s">
        <v>92</v>
      </c>
      <c r="I22" s="39" t="s">
        <v>18</v>
      </c>
      <c r="L22" s="48">
        <f>((DatafromPier!S10/1000)/0.125)/('TrapsTable2-Fluxes'!D22/24)</f>
        <v>1.5502717424391643</v>
      </c>
      <c r="M22" s="120"/>
      <c r="N22" s="40" t="s">
        <v>18</v>
      </c>
      <c r="O22" s="40" t="s">
        <v>18</v>
      </c>
      <c r="P22" s="120"/>
      <c r="Q22" s="81">
        <f>H24/L22</f>
        <v>2.4543183184717505</v>
      </c>
    </row>
    <row r="23" spans="1:21" x14ac:dyDescent="0.25">
      <c r="A23" s="17">
        <f>A22+1</f>
        <v>3</v>
      </c>
      <c r="B23" s="37">
        <v>40852</v>
      </c>
      <c r="C23" s="38">
        <v>0.375</v>
      </c>
      <c r="D23" s="17">
        <v>1</v>
      </c>
      <c r="E23" s="17" t="s">
        <v>93</v>
      </c>
      <c r="F23" s="41" t="s">
        <v>94</v>
      </c>
      <c r="G23" s="48">
        <f>DatafromDiana!D17/0.125/($D23/24)/1000</f>
        <v>1.3440000000000001</v>
      </c>
      <c r="H23" s="48">
        <f>DatafromDiana!H17/0.125/($D23/24)/1000</f>
        <v>3.4124125042943132</v>
      </c>
      <c r="I23" s="48">
        <f>DatafromDiana!G17/0.125/($D23/24)/1000</f>
        <v>0.38375124584173492</v>
      </c>
      <c r="J23" s="39">
        <f>[1]DatafromStevo!D11/0.125/($D23/24)/1000</f>
        <v>10.465701447828256</v>
      </c>
      <c r="K23" s="48">
        <f>DatafromDiana!K17/0.125/($D23/24)/1000</f>
        <v>0.39267294449821177</v>
      </c>
      <c r="L23" s="144"/>
      <c r="M23" s="59">
        <f>DatafromFred!G13</f>
        <v>996.78286088414507</v>
      </c>
      <c r="N23" s="11">
        <f>H23/I23</f>
        <v>8.8922512728509702</v>
      </c>
      <c r="O23" s="48">
        <f>H23/J23</f>
        <v>0.32605674080282743</v>
      </c>
      <c r="P23" s="48">
        <f>H23/K23</f>
        <v>8.6902154887573442</v>
      </c>
      <c r="Q23" s="81"/>
      <c r="R23" s="214">
        <f t="shared" ref="R23:R24" si="4">1000*H23/M23</f>
        <v>3.4234261424474211</v>
      </c>
      <c r="S23" s="115" t="s">
        <v>18</v>
      </c>
    </row>
    <row r="24" spans="1:21" x14ac:dyDescent="0.25">
      <c r="A24" s="17">
        <f t="shared" ref="A24:A32" si="5">A23+1</f>
        <v>4</v>
      </c>
      <c r="B24" s="37">
        <v>40852</v>
      </c>
      <c r="C24" s="38">
        <v>0.70833333333333337</v>
      </c>
      <c r="D24" s="17">
        <v>8</v>
      </c>
      <c r="E24" s="17" t="s">
        <v>93</v>
      </c>
      <c r="F24" s="41" t="s">
        <v>94</v>
      </c>
      <c r="G24" s="48">
        <f>DatafromDiana!D19/0.125/($D24/24)/1000</f>
        <v>0.98880000000000012</v>
      </c>
      <c r="H24" s="48">
        <f>DatafromDiana!H19/0.125/($D24/24)/1000</f>
        <v>3.8048603360775606</v>
      </c>
      <c r="I24" s="48">
        <f>DatafromDiana!G19/0.125/($D24/24)/1000</f>
        <v>0.55211917338075167</v>
      </c>
      <c r="J24" s="39">
        <f>[1]DatafromStevo!D12/0.125/($D24/24)/1000</f>
        <v>10.68407388916625</v>
      </c>
      <c r="K24" s="48">
        <f>DatafromDiana!K19/0.125/($D24/24)/1000</f>
        <v>0.59620891956848687</v>
      </c>
      <c r="L24" s="144"/>
      <c r="M24" s="59">
        <f>DatafromFred!G14</f>
        <v>1072.6084794913936</v>
      </c>
      <c r="N24" s="11">
        <f>H24/I24</f>
        <v>6.8913751224749769</v>
      </c>
      <c r="O24" s="48">
        <f>H24/J24</f>
        <v>0.35612448730214458</v>
      </c>
      <c r="P24" s="48">
        <f>H24/K24</f>
        <v>6.3817568157674867</v>
      </c>
      <c r="Q24" s="81"/>
      <c r="R24" s="214">
        <f t="shared" si="4"/>
        <v>3.547296528815191</v>
      </c>
      <c r="S24" s="115">
        <f>H24*12/G24/1000</f>
        <v>4.6175489515504375E-2</v>
      </c>
    </row>
    <row r="25" spans="1:21" x14ac:dyDescent="0.25">
      <c r="A25" s="17">
        <f t="shared" si="5"/>
        <v>5</v>
      </c>
      <c r="B25" s="37">
        <v>40853</v>
      </c>
      <c r="C25" s="38">
        <v>4.1666666666666664E-2</v>
      </c>
      <c r="D25" s="17">
        <v>12</v>
      </c>
      <c r="E25" s="17" t="s">
        <v>91</v>
      </c>
      <c r="F25" s="24" t="s">
        <v>92</v>
      </c>
      <c r="G25" s="115"/>
      <c r="H25" s="115"/>
      <c r="I25" s="115"/>
      <c r="K25" s="115"/>
      <c r="L25" s="48">
        <f>((DatafromPier!S11/1000)/0.125)/('TrapsTable2-Fluxes'!D25/24)</f>
        <v>2.2749932494135763</v>
      </c>
      <c r="M25"/>
      <c r="N25" s="11" t="s">
        <v>18</v>
      </c>
      <c r="O25" s="11"/>
      <c r="P25" s="120"/>
      <c r="Q25" s="81">
        <f>H27/L25</f>
        <v>1.2822493550623053</v>
      </c>
    </row>
    <row r="26" spans="1:21" x14ac:dyDescent="0.25">
      <c r="A26" s="17">
        <f t="shared" si="5"/>
        <v>6</v>
      </c>
      <c r="B26" s="37">
        <v>40853</v>
      </c>
      <c r="C26" s="38">
        <v>0.54166666666666663</v>
      </c>
      <c r="D26" s="17">
        <v>12</v>
      </c>
      <c r="E26" s="17" t="s">
        <v>91</v>
      </c>
      <c r="F26" s="41" t="s">
        <v>92</v>
      </c>
      <c r="G26" s="115"/>
      <c r="H26" s="115"/>
      <c r="I26" s="115"/>
      <c r="K26" s="115"/>
      <c r="L26" s="48">
        <f>((DatafromPier!S12/1000)/0.125)/('TrapsTable2-Fluxes'!D26/24)</f>
        <v>2.1070200368864933</v>
      </c>
      <c r="M26"/>
      <c r="N26" s="11" t="s">
        <v>18</v>
      </c>
      <c r="O26" s="11"/>
      <c r="P26" s="120"/>
      <c r="Q26" s="81">
        <f>H28/L26</f>
        <v>1.1098073767263215</v>
      </c>
    </row>
    <row r="27" spans="1:21" x14ac:dyDescent="0.25">
      <c r="A27" s="17">
        <f t="shared" si="5"/>
        <v>7</v>
      </c>
      <c r="B27" s="37">
        <v>40854</v>
      </c>
      <c r="C27" s="38">
        <v>4.1666666666666664E-2</v>
      </c>
      <c r="D27" s="17">
        <v>12</v>
      </c>
      <c r="E27" s="17" t="s">
        <v>91</v>
      </c>
      <c r="F27" s="41" t="s">
        <v>94</v>
      </c>
      <c r="G27" s="48">
        <f>DatafromDiana!D21/0.125/($D27/24)/1000</f>
        <v>1.1109743589743588</v>
      </c>
      <c r="H27" s="48">
        <f>DatafromDiana!H21/0.125/($D27/24)/1000</f>
        <v>2.9171086268316566</v>
      </c>
      <c r="I27" s="48">
        <f>DatafromDiana!G21/0.125/($D27/24)/1000</f>
        <v>0.45362813883922654</v>
      </c>
      <c r="J27" s="39">
        <f>[1]DatafromStevo!D13/0.125/($D27/24)/1000</f>
        <v>9.4183225162256612</v>
      </c>
      <c r="K27" s="48">
        <f>DatafromDiana!K21/0.125/($D27/24)/1000</f>
        <v>1.1137923738749456</v>
      </c>
      <c r="L27" s="144"/>
      <c r="M27" s="59">
        <f>DatafromFred!G15</f>
        <v>946.92290639877183</v>
      </c>
      <c r="N27" s="11">
        <f>H27/I27</f>
        <v>6.4306165713091472</v>
      </c>
      <c r="O27" s="48">
        <f>H27/J27</f>
        <v>0.30972698395134923</v>
      </c>
      <c r="P27" s="48">
        <f>H27/K27</f>
        <v>2.619077572494839</v>
      </c>
      <c r="Q27" s="81"/>
      <c r="R27" s="214">
        <f t="shared" ref="R27:R28" si="6">1000*H27/M27</f>
        <v>3.0806189259120029</v>
      </c>
      <c r="S27" s="115">
        <f>H27*12/G27/1000</f>
        <v>3.1508651157616682E-2</v>
      </c>
    </row>
    <row r="28" spans="1:21" x14ac:dyDescent="0.25">
      <c r="A28" s="17">
        <f t="shared" si="5"/>
        <v>8</v>
      </c>
      <c r="B28" s="37">
        <v>40854</v>
      </c>
      <c r="C28" s="38">
        <v>0.54166666666666663</v>
      </c>
      <c r="D28" s="17">
        <v>12</v>
      </c>
      <c r="E28" s="17" t="s">
        <v>91</v>
      </c>
      <c r="F28" s="41" t="s">
        <v>94</v>
      </c>
      <c r="G28" s="48">
        <f>DatafromDiana!D23/0.125/($D28/24)/1000</f>
        <v>0.9698095238095239</v>
      </c>
      <c r="H28" s="48">
        <f>DatafromDiana!H23/0.125/($D28/24)/1000</f>
        <v>2.3383863798467961</v>
      </c>
      <c r="I28" s="48">
        <f>DatafromDiana!G23/0.125/($D28/24)/1000</f>
        <v>0.38079479166257268</v>
      </c>
      <c r="J28" s="39">
        <f>[1]DatafromStevo!D14/0.125/($D28/24)/1000</f>
        <v>8.2981527708437355</v>
      </c>
      <c r="K28" s="48">
        <f>DatafromDiana!K23/0.125/($D28/24)/1000</f>
        <v>1.0103744716386402</v>
      </c>
      <c r="L28" s="48"/>
      <c r="M28" s="59">
        <f>DatafromFred!G16</f>
        <v>813.34555544152522</v>
      </c>
      <c r="N28" s="11">
        <f>H28/I28</f>
        <v>6.1408045252858168</v>
      </c>
      <c r="O28" s="48">
        <f>H28/J28</f>
        <v>0.28179601465797488</v>
      </c>
      <c r="P28" s="48">
        <f>H28/K28</f>
        <v>2.314375952169859</v>
      </c>
      <c r="Q28" s="81"/>
      <c r="R28" s="214">
        <f t="shared" si="6"/>
        <v>2.8750220176434125</v>
      </c>
      <c r="S28" s="115">
        <f>H28*12/G28/1000</f>
        <v>2.8934173019807156E-2</v>
      </c>
    </row>
    <row r="29" spans="1:21" x14ac:dyDescent="0.25">
      <c r="A29" s="17">
        <f t="shared" si="5"/>
        <v>9</v>
      </c>
      <c r="B29" s="37">
        <v>40855</v>
      </c>
      <c r="C29" s="38">
        <v>4.1666666666666664E-2</v>
      </c>
      <c r="D29" s="17">
        <v>12</v>
      </c>
      <c r="E29" s="17" t="s">
        <v>91</v>
      </c>
      <c r="F29" s="24" t="s">
        <v>92</v>
      </c>
      <c r="G29" s="115"/>
      <c r="H29" s="115"/>
      <c r="I29" s="115"/>
      <c r="K29" s="115"/>
      <c r="L29" s="48">
        <f>((DatafromPier!S13/1000)/0.125)/('TrapsTable2-Fluxes'!D29/24)</f>
        <v>1.7795037871327022</v>
      </c>
      <c r="M29"/>
      <c r="N29" s="11" t="s">
        <v>18</v>
      </c>
      <c r="O29" s="11"/>
      <c r="P29" s="120"/>
      <c r="Q29" s="81">
        <f>H31/L29</f>
        <v>2.9980789582050216</v>
      </c>
    </row>
    <row r="30" spans="1:21" x14ac:dyDescent="0.25">
      <c r="A30" s="17">
        <f t="shared" si="5"/>
        <v>10</v>
      </c>
      <c r="B30" s="37">
        <v>40855</v>
      </c>
      <c r="C30" s="38">
        <v>0.54166666666666663</v>
      </c>
      <c r="D30" s="17">
        <v>12</v>
      </c>
      <c r="E30" s="17" t="s">
        <v>91</v>
      </c>
      <c r="F30" s="24" t="s">
        <v>92</v>
      </c>
      <c r="G30" s="115"/>
      <c r="H30" s="115"/>
      <c r="I30" s="115"/>
      <c r="K30" s="115"/>
      <c r="L30" s="48">
        <f>((DatafromPier!S14/1000)/0.125)/('TrapsTable2-Fluxes'!D30/24)</f>
        <v>1.7028282987447849</v>
      </c>
      <c r="M30"/>
      <c r="N30" s="11" t="s">
        <v>18</v>
      </c>
      <c r="O30" s="11"/>
      <c r="P30" s="120"/>
      <c r="Q30" s="81">
        <f>H32/L30</f>
        <v>5.696415732820701</v>
      </c>
    </row>
    <row r="31" spans="1:21" x14ac:dyDescent="0.25">
      <c r="A31" s="17">
        <f t="shared" si="5"/>
        <v>11</v>
      </c>
      <c r="B31" s="37">
        <v>40856</v>
      </c>
      <c r="C31" s="38">
        <v>4.1666666666666664E-2</v>
      </c>
      <c r="D31" s="17">
        <v>12</v>
      </c>
      <c r="E31" s="17" t="s">
        <v>93</v>
      </c>
      <c r="F31" s="41" t="s">
        <v>94</v>
      </c>
      <c r="G31" s="48">
        <f>DatafromDiana!D25/0.125/($D31/24)/1000</f>
        <v>1.208</v>
      </c>
      <c r="H31" s="48">
        <f>DatafromDiana!H25/0.125/($D31/24)/1000</f>
        <v>5.335092860248702</v>
      </c>
      <c r="I31" s="48">
        <f>DatafromDiana!G25/0.125/($D31/24)/1000</f>
        <v>0.71400484844755052</v>
      </c>
      <c r="J31" s="39">
        <f>[1]DatafromStevo!D15/0.125/($D31/24)/1000</f>
        <v>10.883574638042937</v>
      </c>
      <c r="K31" s="48">
        <f>DatafromDiana!K25/0.125/($D31/24)/1000</f>
        <v>0.70882424008205258</v>
      </c>
      <c r="L31" s="144"/>
      <c r="M31" s="59">
        <f>DatafromFred!G17</f>
        <v>1239.8103466463729</v>
      </c>
      <c r="N31" s="11">
        <f>H31/I31</f>
        <v>7.4720681124907067</v>
      </c>
      <c r="O31" s="48">
        <f>H31/J31</f>
        <v>0.49019674488197823</v>
      </c>
      <c r="P31" s="48">
        <f>H31/K31</f>
        <v>7.5266794764681277</v>
      </c>
      <c r="Q31" s="81"/>
      <c r="R31" s="214">
        <f t="shared" ref="R31:R32" si="7">1000*H31/M31</f>
        <v>4.3031523931703513</v>
      </c>
      <c r="S31" s="115">
        <f>H31*12/G31/1000</f>
        <v>5.2997611194523536E-2</v>
      </c>
    </row>
    <row r="32" spans="1:21" x14ac:dyDescent="0.25">
      <c r="A32" s="17">
        <f t="shared" si="5"/>
        <v>12</v>
      </c>
      <c r="B32" s="37">
        <v>40856</v>
      </c>
      <c r="C32" s="38">
        <v>0.54166666666666663</v>
      </c>
      <c r="D32" s="17">
        <v>12</v>
      </c>
      <c r="E32" s="17" t="s">
        <v>93</v>
      </c>
      <c r="F32" s="41" t="s">
        <v>94</v>
      </c>
      <c r="G32" s="48">
        <f>DatafromDiana!D27/0.125/($D32/24)/1000</f>
        <v>2.1663999999999999</v>
      </c>
      <c r="H32" s="48">
        <f>DatafromDiana!H27/0.125/($D32/24)/1000</f>
        <v>9.7000179112621012</v>
      </c>
      <c r="I32" s="48">
        <f>DatafromDiana!G27/0.125/($D32/24)/1000</f>
        <v>1.481233196544443</v>
      </c>
      <c r="J32" s="39">
        <f>[1]DatafromStevo!D16/0.125/($D32/24)/1000</f>
        <v>22.044832750873692</v>
      </c>
      <c r="K32" s="48">
        <f>DatafromDiana!K27/0.125/($D32/24)/1000</f>
        <v>1.1911052675750025</v>
      </c>
      <c r="L32" s="144"/>
      <c r="M32" s="59">
        <f>DatafromFred!G18</f>
        <v>1565.2874940548659</v>
      </c>
      <c r="N32" s="11">
        <f>H32/I32</f>
        <v>6.5486095868572178</v>
      </c>
      <c r="O32" s="48">
        <f>H32/J32</f>
        <v>0.44001322309318336</v>
      </c>
      <c r="P32" s="48">
        <f>H32/K32</f>
        <v>8.1437117065316844</v>
      </c>
      <c r="Q32" s="81"/>
      <c r="R32" s="214">
        <f t="shared" si="7"/>
        <v>6.1969561170735954</v>
      </c>
      <c r="S32" s="115">
        <f>H32*12/G32/1000</f>
        <v>5.3729789021023454E-2</v>
      </c>
      <c r="U32" t="s">
        <v>18</v>
      </c>
    </row>
    <row r="33" spans="1:21" x14ac:dyDescent="0.25">
      <c r="A33" s="29"/>
      <c r="B33" s="49"/>
      <c r="C33" s="44"/>
      <c r="D33" s="29"/>
      <c r="E33" s="29"/>
      <c r="F33" s="45" t="s">
        <v>95</v>
      </c>
      <c r="G33" s="50">
        <f>($D23*H23+$D24*G24+$D27*G27+$D28*G28+$D31*G31+$D32*G32)/($D23+$D24+$D27+$D28+$D31+$D32)</f>
        <v>1.3471055982052791</v>
      </c>
      <c r="H33" s="50">
        <f>($D23*H23+$D24*H24+$D27*H27+$D28*H28+$D31*H31+$D32*H32)/($D23+$D24+$D27+$D28+$D31+$D32)</f>
        <v>4.8655888514243131</v>
      </c>
      <c r="I33" s="50">
        <f>($D23*I23+$D24*I24+$D27*I27+$D28*I28+$D31*I31+$D32*I32)/($D23+$D24+$D27+$D28+$D31+$D32)</f>
        <v>0.72204625155812741</v>
      </c>
      <c r="J33" s="50">
        <f>($D23*J23+$D24*J24+$D27*J27+$D28*J28+$D31*J31+$D32*J32)/($D23+$D24+$D27+$D28+$D31+$D32)</f>
        <v>12.345208503034922</v>
      </c>
      <c r="K33" s="50">
        <f>($D23*K23+$D24*K24+$D27*K27+$D28*K28+$D31*K31+$D32*K32)/($D23+$D24+$D27+$D28+$D31+$D32)</f>
        <v>0.93774562349287371</v>
      </c>
      <c r="L33" s="50">
        <f>($D21*L21+$D22*L22+$D25*L25+$D26*L26+$D29*L29+$D30*L30)/($D21+$D22+$D25+$D26+$D29+$D30)</f>
        <v>1.890422377680373</v>
      </c>
      <c r="M33" s="30">
        <f>($D23*M23+$D24*M24+$D27*M27+$D28*M28+$D31*M31+$D32*M32)/($D23+$D24+$D27+$D28+$D31+$D32)</f>
        <v>1129.1587074967319</v>
      </c>
      <c r="N33" s="235">
        <f>$H33/I33</f>
        <v>6.7386110528580385</v>
      </c>
      <c r="O33" s="235">
        <f t="shared" ref="O33" si="8">$H33/J33</f>
        <v>0.39412771766699334</v>
      </c>
      <c r="P33" s="235">
        <f t="shared" ref="P33" si="9">$H33/K33</f>
        <v>5.1886020361270058</v>
      </c>
      <c r="Q33" s="235">
        <f t="shared" ref="Q33" si="10">$H33/L33</f>
        <v>2.5738104398629651</v>
      </c>
      <c r="R33" s="236">
        <f>1000*H33/M33</f>
        <v>4.3090389500790307</v>
      </c>
      <c r="S33" s="237">
        <f>H33*12/G33/1000</f>
        <v>4.3342605282673932E-2</v>
      </c>
      <c r="U33" t="s">
        <v>18</v>
      </c>
    </row>
    <row r="34" spans="1:21" x14ac:dyDescent="0.25">
      <c r="A34" s="29"/>
      <c r="B34" s="49"/>
      <c r="C34" s="44"/>
      <c r="D34" s="29"/>
      <c r="E34" s="29"/>
      <c r="F34" s="46" t="s">
        <v>96</v>
      </c>
      <c r="G34" s="50">
        <f>SQRT(1/($D24+$D27+$D28+$D31+$D32)*($D24*(G24-G33)^2+$D27*(G27-G33)^2+$D28*(G28-G33)^2+$D31*(G31-G33)^2+$D32*(G32-G33)^2))</f>
        <v>0.45692119716710383</v>
      </c>
      <c r="H34" s="50">
        <f>SQRT(1/($D23+$D24+$D27+$D28+$D31+$D32)*($D23*(H23-H33)^2+$D24*(H24-H33)^2+$D27*(H27-H33)^2+$D28*(H28-H33)^2+$D31*(H31-H33)^2+$D33*(H33-H33)^2))</f>
        <v>1.5444184720001783</v>
      </c>
      <c r="I34" s="50">
        <f>SQRT(1/($D23+$D24+$D27+$D28+$D31+$D32)*($D23*(I23-I33)^2+$D24*(I24-I33)^2+$D27*(I27-I33)^2+$D28*(I28-I33)^2+$D31*(I31-I33)^2+$D33*(I33-I33)^2))</f>
        <v>0.2139122332501085</v>
      </c>
      <c r="J34" s="50">
        <f>SQRT(1/($D23+$D24+$D27+$D28+$D31+$D32)*($D23*(J23-J33)^2+$D24*(J24-J33)^2+$D27*(J27-J33)^2+$D28*(J28-J33)^2+$D31*(J31-J33)^2+$D33*(J33-J33)^2))</f>
        <v>2.4800531800612271</v>
      </c>
      <c r="K34" s="50">
        <f>SQRT(1/($D23+$D24+$D27+$D28+$D31+$D32)*($D23*(K23-K33)^2+$D24*(K24-K33)^2+$D27*(K27-K33)^2+$D28*(K28-K33)^2+$D31*(K31-K33)^2+$D33*(K33-K33)^2))</f>
        <v>0.20062847214621071</v>
      </c>
      <c r="L34" s="50">
        <f>SQRT(1/($D21+$D22+$D25+$D26+$D29+$D30)*($D21*(L21-L33)^2+$D22*(L22-L33)^2+$D25*(L25-L33)^2+$D26*(L26-L33)^2+$D29*(L29-L33)^2+$D30*(L30-L33)^2))</f>
        <v>0.28600626073913971</v>
      </c>
      <c r="M34" s="30">
        <f>SQRT(1/($D23+$D24+$D27+$D28+$D31+$D32)*($D23*(M23-M33)^2+$D24*(M24-M33)^2+$D27*(M27-M33)^2+$D28*(M28-M33)^2+$D31*(M31-M33)^2+$D33*(M33-M33)^2))</f>
        <v>176.98281334828434</v>
      </c>
      <c r="N34" s="234">
        <f>STDEV(N23:N32)</f>
        <v>1.0057735299369603</v>
      </c>
      <c r="O34" s="234">
        <f t="shared" ref="O34:S34" si="11">STDEV(O23:O32)</f>
        <v>8.1046039682828586E-2</v>
      </c>
      <c r="P34" s="234">
        <f t="shared" si="11"/>
        <v>2.8037900442583692</v>
      </c>
      <c r="Q34" s="234">
        <f>STDEV(Q21:Q30)</f>
        <v>1.6832291520637133</v>
      </c>
      <c r="R34" s="239">
        <f t="shared" si="11"/>
        <v>1.2257169371017933</v>
      </c>
      <c r="S34" s="234">
        <f t="shared" si="11"/>
        <v>1.1774077352972923E-2</v>
      </c>
    </row>
    <row r="35" spans="1:21" x14ac:dyDescent="0.25">
      <c r="A35" s="47" t="s">
        <v>98</v>
      </c>
      <c r="B35" s="17"/>
      <c r="C35" s="17"/>
      <c r="D35" s="17"/>
      <c r="E35" s="17"/>
      <c r="F35" s="17"/>
      <c r="G35" s="17"/>
      <c r="H35" s="17"/>
      <c r="I35" s="39"/>
      <c r="K35" s="17"/>
      <c r="L35" s="144"/>
      <c r="M35" s="120"/>
      <c r="N35" s="121"/>
      <c r="O35" s="53"/>
      <c r="P35" s="120"/>
      <c r="Q35" s="81"/>
    </row>
    <row r="36" spans="1:21" x14ac:dyDescent="0.25">
      <c r="A36" s="17">
        <v>1</v>
      </c>
      <c r="B36" s="37">
        <v>40865</v>
      </c>
      <c r="C36" s="38">
        <v>0.54166666666666663</v>
      </c>
      <c r="D36" s="17">
        <v>3</v>
      </c>
      <c r="E36" s="17" t="s">
        <v>91</v>
      </c>
      <c r="F36" s="17" t="s">
        <v>92</v>
      </c>
      <c r="L36" s="48">
        <f>((DatafromPier!S15/1000)/0.125)/('TrapsTable2-Fluxes'!D36/24)</f>
        <v>1.3247849302558774</v>
      </c>
      <c r="M36" s="120"/>
      <c r="N36" s="40" t="s">
        <v>18</v>
      </c>
      <c r="O36" s="40" t="s">
        <v>18</v>
      </c>
      <c r="P36" s="120"/>
      <c r="Q36" s="81">
        <f>(H$39)/L36</f>
        <v>2.5702010417178074</v>
      </c>
    </row>
    <row r="37" spans="1:21" x14ac:dyDescent="0.25">
      <c r="A37" s="17">
        <f>A36+1</f>
        <v>2</v>
      </c>
      <c r="B37" s="37">
        <v>40865</v>
      </c>
      <c r="C37" s="38">
        <v>0.66666666666666663</v>
      </c>
      <c r="D37" s="17">
        <v>3</v>
      </c>
      <c r="E37" s="17" t="s">
        <v>91</v>
      </c>
      <c r="F37" s="41" t="s">
        <v>92</v>
      </c>
      <c r="L37" s="48">
        <f>((DatafromPier!S16/1000)/0.125)/('TrapsTable2-Fluxes'!D37/24)</f>
        <v>1.3479545185954482</v>
      </c>
      <c r="M37" s="120"/>
      <c r="N37" s="40" t="s">
        <v>18</v>
      </c>
      <c r="O37" s="40" t="s">
        <v>18</v>
      </c>
      <c r="P37" s="120"/>
      <c r="Q37" s="81">
        <f>(H$39)/L37</f>
        <v>2.5260226222941395</v>
      </c>
    </row>
    <row r="38" spans="1:21" x14ac:dyDescent="0.25">
      <c r="A38" s="17">
        <f>A37+1</f>
        <v>3</v>
      </c>
      <c r="B38" s="37">
        <v>40865</v>
      </c>
      <c r="C38" s="38">
        <v>0.79166666666666663</v>
      </c>
      <c r="D38" s="17">
        <v>3</v>
      </c>
      <c r="E38" s="17" t="s">
        <v>93</v>
      </c>
      <c r="F38" s="108" t="s">
        <v>153</v>
      </c>
      <c r="G38" s="108" t="s">
        <v>18</v>
      </c>
      <c r="H38" s="108" t="s">
        <v>18</v>
      </c>
      <c r="K38" s="108" t="s">
        <v>18</v>
      </c>
      <c r="L38" s="144"/>
      <c r="M38" s="120"/>
      <c r="N38" s="121"/>
      <c r="O38" s="120"/>
      <c r="P38" s="120"/>
      <c r="Q38" s="81"/>
    </row>
    <row r="39" spans="1:21" x14ac:dyDescent="0.25">
      <c r="A39" s="17">
        <f t="shared" ref="A39:A47" si="12">A38+1</f>
        <v>4</v>
      </c>
      <c r="B39" s="37">
        <v>40865</v>
      </c>
      <c r="C39" s="38">
        <v>0.91666666666666663</v>
      </c>
      <c r="D39" s="17">
        <v>3</v>
      </c>
      <c r="E39" s="17" t="s">
        <v>93</v>
      </c>
      <c r="F39" s="41" t="s">
        <v>94</v>
      </c>
      <c r="G39" s="42">
        <f>DatafromDiana!D35/0.125/(($D39+$D38)/24)/1000</f>
        <v>1.6255999999999999</v>
      </c>
      <c r="H39" s="42">
        <f>DatafromDiana!H35/0.125/(($D39+$D38)/24)/1000</f>
        <v>3.4049636077957088</v>
      </c>
      <c r="I39" s="42">
        <f>DatafromDiana!G35/0.125/(($D39+$D38)/24)/1000</f>
        <v>0.43731531596541151</v>
      </c>
      <c r="J39" s="39">
        <f>[1]DatafromStevo!D20/0.125/($D39/24)/1000</f>
        <v>31.801497753369947</v>
      </c>
      <c r="K39" s="42">
        <f>DatafromDiana!K35/0.125/(($D39+$D38)/24)/1000</f>
        <v>0.77611873609710735</v>
      </c>
      <c r="L39" s="144"/>
      <c r="M39" s="120">
        <f>DatafromFred!G33</f>
        <v>1688.0335482869473</v>
      </c>
      <c r="N39" s="121">
        <f>H39/I39</f>
        <v>7.7860607289249772</v>
      </c>
      <c r="O39" s="48">
        <f>H39/J39</f>
        <v>0.10706928441553955</v>
      </c>
      <c r="P39" s="48">
        <f>H39/K39</f>
        <v>4.3871684182221351</v>
      </c>
      <c r="Q39" s="81"/>
      <c r="R39" s="214">
        <f t="shared" ref="R39" si="13">1000*H39/M39</f>
        <v>2.0171184460469633</v>
      </c>
      <c r="S39" s="115">
        <f>H39*12/G39/1000</f>
        <v>2.5135066002428954E-2</v>
      </c>
    </row>
    <row r="40" spans="1:21" x14ac:dyDescent="0.25">
      <c r="A40" s="17">
        <f t="shared" si="12"/>
        <v>5</v>
      </c>
      <c r="B40" s="37">
        <v>40866</v>
      </c>
      <c r="C40" s="38">
        <v>4.1666666666666664E-2</v>
      </c>
      <c r="D40" s="17">
        <v>3</v>
      </c>
      <c r="E40" s="17" t="s">
        <v>91</v>
      </c>
      <c r="F40" s="17" t="s">
        <v>92</v>
      </c>
      <c r="G40" s="103" t="s">
        <v>18</v>
      </c>
      <c r="H40" s="103" t="s">
        <v>18</v>
      </c>
      <c r="K40" s="103" t="s">
        <v>18</v>
      </c>
      <c r="L40" s="48">
        <f>((DatafromPier!S17/1000)/0.125)/('TrapsTable2-Fluxes'!D40/24)</f>
        <v>1.0435388113954196</v>
      </c>
      <c r="M40" s="120"/>
      <c r="N40" s="121"/>
      <c r="O40" s="120"/>
      <c r="P40" s="120"/>
      <c r="Q40" s="81">
        <f>(H$43)/L40</f>
        <v>1.3728372678802077</v>
      </c>
    </row>
    <row r="41" spans="1:21" x14ac:dyDescent="0.25">
      <c r="A41" s="17">
        <f t="shared" si="12"/>
        <v>6</v>
      </c>
      <c r="B41" s="37">
        <v>40866</v>
      </c>
      <c r="C41" s="38">
        <v>0.16666666666666666</v>
      </c>
      <c r="D41" s="17">
        <v>3</v>
      </c>
      <c r="E41" s="17" t="s">
        <v>91</v>
      </c>
      <c r="F41" s="41" t="s">
        <v>92</v>
      </c>
      <c r="G41" s="39"/>
      <c r="H41" s="39"/>
      <c r="K41" s="39"/>
      <c r="L41" s="48">
        <f>((DatafromPier!S18/1000)/0.125)/('TrapsTable2-Fluxes'!D41/24)</f>
        <v>0.61076670188192739</v>
      </c>
      <c r="N41" s="121"/>
      <c r="O41" s="120"/>
      <c r="P41" s="120"/>
      <c r="Q41" s="81">
        <f>(H$43)/L41</f>
        <v>2.3455911501868307</v>
      </c>
    </row>
    <row r="42" spans="1:21" x14ac:dyDescent="0.25">
      <c r="A42" s="17">
        <f t="shared" si="12"/>
        <v>7</v>
      </c>
      <c r="B42" s="37">
        <v>40866</v>
      </c>
      <c r="C42" s="38">
        <v>0.29166666666666669</v>
      </c>
      <c r="D42" s="17">
        <v>3</v>
      </c>
      <c r="E42" s="17" t="s">
        <v>91</v>
      </c>
      <c r="F42" s="108" t="s">
        <v>111</v>
      </c>
      <c r="G42" s="108" t="s">
        <v>18</v>
      </c>
      <c r="H42" s="108" t="s">
        <v>18</v>
      </c>
      <c r="J42" s="39"/>
      <c r="K42" s="108" t="s">
        <v>18</v>
      </c>
      <c r="L42" s="144"/>
      <c r="N42" s="40"/>
      <c r="O42" s="36"/>
      <c r="P42" s="120"/>
      <c r="Q42" s="81"/>
    </row>
    <row r="43" spans="1:21" x14ac:dyDescent="0.25">
      <c r="A43" s="17">
        <f t="shared" si="12"/>
        <v>8</v>
      </c>
      <c r="B43" s="37">
        <v>40866</v>
      </c>
      <c r="C43" s="38">
        <v>0.41666666666666669</v>
      </c>
      <c r="D43" s="17">
        <v>3</v>
      </c>
      <c r="E43" s="17" t="s">
        <v>91</v>
      </c>
      <c r="F43" s="41" t="s">
        <v>94</v>
      </c>
      <c r="G43" s="48">
        <f>DatafromDiana!D37/0.125/(($D43+$D42)/24)/1000</f>
        <v>0.42448979591836733</v>
      </c>
      <c r="H43" s="42">
        <f>DatafromDiana!H37/0.125/(($D43+$D42)/24)/1000</f>
        <v>1.4326089707630472</v>
      </c>
      <c r="I43" s="42">
        <f>DatafromDiana!G37/0.125/(($D43+$D42)/24)/1000</f>
        <v>0.2098503132797499</v>
      </c>
      <c r="J43" s="39">
        <f>[1]DatafromStevo!D21/0.125/($D43/24)/1000</f>
        <v>5.6237643534697952</v>
      </c>
      <c r="K43" s="42">
        <f>DatafromDiana!K37/0.125/(($D43+$D42)/24)/1000</f>
        <v>0.42926263686306054</v>
      </c>
      <c r="L43" s="144"/>
      <c r="M43" s="120">
        <f>DatafromFred!G35</f>
        <v>377.50490056011517</v>
      </c>
      <c r="N43" s="121">
        <f>H43/I43</f>
        <v>6.8268135909487384</v>
      </c>
      <c r="O43" s="48">
        <f>H43/J43</f>
        <v>0.2547419985474933</v>
      </c>
      <c r="P43" s="48">
        <f>H43/K43</f>
        <v>3.3373716874875954</v>
      </c>
      <c r="Q43" s="81"/>
      <c r="R43" s="214">
        <f t="shared" ref="R43" si="14">1000*H43/M43</f>
        <v>3.7949413865553612</v>
      </c>
      <c r="S43" s="115">
        <f>H43*12/G43/1000</f>
        <v>4.0498753596570757E-2</v>
      </c>
    </row>
    <row r="44" spans="1:21" x14ac:dyDescent="0.25">
      <c r="A44" s="17">
        <f t="shared" si="12"/>
        <v>9</v>
      </c>
      <c r="B44" s="37">
        <v>40866</v>
      </c>
      <c r="C44" s="38">
        <v>0.54166666666666663</v>
      </c>
      <c r="D44" s="17">
        <v>3</v>
      </c>
      <c r="E44" s="17" t="s">
        <v>91</v>
      </c>
      <c r="F44" s="17" t="s">
        <v>92</v>
      </c>
      <c r="G44" s="8" t="s">
        <v>18</v>
      </c>
      <c r="H44" s="103" t="s">
        <v>18</v>
      </c>
      <c r="K44" s="103" t="s">
        <v>18</v>
      </c>
      <c r="L44" s="48">
        <f>((DatafromPier!S19/1000)/0.125)/('TrapsTable2-Fluxes'!D44/24)</f>
        <v>0.53188719179185973</v>
      </c>
      <c r="M44" s="120"/>
      <c r="N44" s="121"/>
      <c r="O44" s="120"/>
      <c r="P44" s="120"/>
      <c r="Q44" s="81">
        <f>(H$46)/L44</f>
        <v>2.1796245353272492</v>
      </c>
    </row>
    <row r="45" spans="1:21" x14ac:dyDescent="0.25">
      <c r="A45" s="17">
        <f t="shared" si="12"/>
        <v>10</v>
      </c>
      <c r="B45" s="37">
        <v>40866</v>
      </c>
      <c r="C45" s="38">
        <v>0.66666666666666663</v>
      </c>
      <c r="D45" s="17">
        <v>3</v>
      </c>
      <c r="E45" s="17" t="s">
        <v>91</v>
      </c>
      <c r="F45" s="41" t="s">
        <v>92</v>
      </c>
      <c r="G45" s="48"/>
      <c r="H45" s="39"/>
      <c r="J45" s="39"/>
      <c r="K45" s="39"/>
      <c r="L45" s="48">
        <f>((DatafromPier!S20/1000)/0.125)/('TrapsTable2-Fluxes'!D45/24)</f>
        <v>0.51342646874496378</v>
      </c>
      <c r="N45" s="121"/>
      <c r="O45" s="120"/>
      <c r="P45" s="120"/>
      <c r="Q45" s="81">
        <f>(H$46)/L45</f>
        <v>2.2579949492859477</v>
      </c>
    </row>
    <row r="46" spans="1:21" x14ac:dyDescent="0.25">
      <c r="A46" s="17">
        <f t="shared" si="12"/>
        <v>11</v>
      </c>
      <c r="B46" s="37">
        <v>40866</v>
      </c>
      <c r="C46" s="38">
        <v>0.79166666666666663</v>
      </c>
      <c r="D46" s="17">
        <v>3</v>
      </c>
      <c r="E46" s="17" t="s">
        <v>93</v>
      </c>
      <c r="F46" s="41" t="s">
        <v>94</v>
      </c>
      <c r="G46" s="48">
        <f>DatafromDiana!D39/0.125/(($D46+$D45)/24)/1000</f>
        <v>0.29120000000000001</v>
      </c>
      <c r="H46" s="42">
        <f>DatafromDiana!H39/0.125/(($D46+$D45)/24)/1000</f>
        <v>1.1593143732558477</v>
      </c>
      <c r="I46" s="42">
        <f>DatafromDiana!G39/0.125/(($D46+$D45)/24)/1000</f>
        <v>0.15645296925906194</v>
      </c>
      <c r="J46" s="39">
        <f>[1]DatafromStevo!D22/0.125/($D46/24)/1000</f>
        <v>5.3379930104842739</v>
      </c>
      <c r="K46" s="42">
        <f>DatafromDiana!K39/0.125/(($D46+$D45)/24)/1000</f>
        <v>0.18191703246466703</v>
      </c>
      <c r="L46" s="144"/>
      <c r="M46" s="120">
        <f>DatafromFred!G37</f>
        <v>800.14180456886436</v>
      </c>
      <c r="N46" s="121">
        <f>H46/I46</f>
        <v>7.4099863923720255</v>
      </c>
      <c r="O46" s="48">
        <f>H46/J46</f>
        <v>0.21718169562583828</v>
      </c>
      <c r="P46" s="48">
        <f>H46/K46</f>
        <v>6.3727643176073485</v>
      </c>
      <c r="Q46" s="81"/>
      <c r="R46" s="214">
        <f t="shared" ref="R46" si="15">1000*H46/M46</f>
        <v>1.4488861432262177</v>
      </c>
      <c r="S46" s="115">
        <f>H46*12/G46/1000</f>
        <v>4.7773943952850867E-2</v>
      </c>
    </row>
    <row r="47" spans="1:21" x14ac:dyDescent="0.25">
      <c r="A47" s="17">
        <f t="shared" si="12"/>
        <v>12</v>
      </c>
      <c r="B47" s="37">
        <v>40866</v>
      </c>
      <c r="C47" s="38">
        <v>0.79166666666666663</v>
      </c>
      <c r="D47" s="113" t="s">
        <v>162</v>
      </c>
      <c r="E47" s="114" t="s">
        <v>163</v>
      </c>
      <c r="F47" s="112" t="s">
        <v>164</v>
      </c>
      <c r="G47" s="39"/>
      <c r="H47" s="39"/>
      <c r="I47" s="39"/>
      <c r="J47" s="39"/>
      <c r="K47" s="39"/>
      <c r="L47" s="144"/>
      <c r="M47" s="120"/>
      <c r="N47" s="121"/>
      <c r="O47" s="120"/>
      <c r="P47" s="120"/>
      <c r="Q47" s="81"/>
    </row>
    <row r="48" spans="1:21" x14ac:dyDescent="0.25">
      <c r="A48" s="29"/>
      <c r="B48" s="29"/>
      <c r="C48" s="29"/>
      <c r="D48" s="29"/>
      <c r="E48" s="29"/>
      <c r="F48" s="45" t="s">
        <v>95</v>
      </c>
      <c r="G48" s="50">
        <f>($D39*G39+$D43*G43+$D46*G46)/($D39+$D43+$D46)</f>
        <v>0.78042993197278898</v>
      </c>
      <c r="H48" s="50">
        <f t="shared" ref="H48:I48" si="16">($D39*H39+$D43*H43+$D46*H46)/($D39+$D43+$D46)</f>
        <v>1.9989623172715349</v>
      </c>
      <c r="I48" s="50">
        <f t="shared" si="16"/>
        <v>0.26787286616807443</v>
      </c>
      <c r="J48" s="50">
        <f t="shared" ref="J48:K48" si="17">($D39*J39+$D43*J43+$D46*J46)/($D39+$D43+$D46)</f>
        <v>14.254418372441339</v>
      </c>
      <c r="K48" s="50">
        <f t="shared" si="17"/>
        <v>0.46243280180827839</v>
      </c>
      <c r="L48" s="50">
        <f>($D36*L36+$D37*L37+$D40*L40+$D41*L41+$D44*L44+$D45*L45)/($D36+$D37+$D40+$D41+$D44+$D45)</f>
        <v>0.89539310377758285</v>
      </c>
      <c r="M48" s="30">
        <f t="shared" ref="M48" si="18">($D39*M39+$D43*M43+$D46*M46)/($D39+$D43+$D46)</f>
        <v>955.22675113864227</v>
      </c>
      <c r="N48" s="235">
        <f>H48/I48</f>
        <v>7.4623546082390586</v>
      </c>
      <c r="O48" s="119">
        <f>H48/J48</f>
        <v>0.14023457604809833</v>
      </c>
      <c r="P48" s="119">
        <f>H48/K48</f>
        <v>4.3227087469895604</v>
      </c>
      <c r="Q48" s="50">
        <f>H48/L48</f>
        <v>2.2324968874990136</v>
      </c>
      <c r="R48" s="213">
        <f>H48/M48*1000</f>
        <v>2.0926573872525518</v>
      </c>
      <c r="S48" s="50">
        <f>H48*12/G48/1000</f>
        <v>3.0736324716073023E-2</v>
      </c>
    </row>
    <row r="49" spans="1:21" x14ac:dyDescent="0.25">
      <c r="A49" s="29"/>
      <c r="B49" s="29"/>
      <c r="C49" s="29"/>
      <c r="D49" s="29"/>
      <c r="E49" s="29"/>
      <c r="F49" s="46" t="s">
        <v>96</v>
      </c>
      <c r="G49" s="50">
        <f>SQRT(1/($D39+$D43+$D46)*($D39*(G39-G48)^2+$D43*(G43-G48)^2+$D46*(G46-G48)^2))</f>
        <v>0.60009770056818257</v>
      </c>
      <c r="H49" s="50">
        <f t="shared" ref="H49:I49" si="19">SQRT(1/($D39+$D43+$D46)*($D39*(H39-H48)^2+$D43*(H43-H48)^2+$D46*(H46-H48)^2))</f>
        <v>1.0004339744908668</v>
      </c>
      <c r="I49" s="50">
        <f t="shared" si="19"/>
        <v>0.12178088775093361</v>
      </c>
      <c r="J49" s="50">
        <f t="shared" ref="J49:K49" si="20">SQRT(1/($D39+$D43+$D46)*($D39*(J39-J48)^2+$D43*(J43-J48)^2+$D46*(J46-J48)^2))</f>
        <v>12.408207295054764</v>
      </c>
      <c r="K49" s="50">
        <f t="shared" si="20"/>
        <v>0.24371309776291372</v>
      </c>
      <c r="L49" s="50">
        <f>SQRT(1/($D36+$D37+$D40+$D41+$D44+$D45)*($D36*(L36-L48)^2+$D37*(L37-L48)^2+$D40*(L40-L48)^2+$D41*(L41-L48)^2+$D44*(L44-L48)^2+$D45*(L45-L48)^2))</f>
        <v>0.35827912128597095</v>
      </c>
      <c r="M49" s="30">
        <f t="shared" ref="M49" si="21">SQRT(1/($D39+$D43+$D46)*($D39*(M39-M48)^2+$D43*(M43-M48)^2+$D46*(M46-M48)^2))</f>
        <v>546.14396125172766</v>
      </c>
      <c r="N49" s="234">
        <f>STDEV(N39:N46)</f>
        <v>0.48333520022327375</v>
      </c>
      <c r="O49" s="234">
        <f t="shared" ref="O49:S49" si="22">STDEV(O39:O46)</f>
        <v>7.6749321340332979E-2</v>
      </c>
      <c r="P49" s="234">
        <f t="shared" si="22"/>
        <v>1.5415507706257796</v>
      </c>
      <c r="Q49" s="234">
        <f>STDEV(Q36:Q45)</f>
        <v>0.43636171178194166</v>
      </c>
      <c r="R49" s="239">
        <f t="shared" si="22"/>
        <v>1.2238952544042223</v>
      </c>
      <c r="S49" s="234">
        <f t="shared" si="22"/>
        <v>1.1557754150818672E-2</v>
      </c>
    </row>
    <row r="50" spans="1:21" x14ac:dyDescent="0.25">
      <c r="A50" s="47" t="s">
        <v>99</v>
      </c>
      <c r="B50" s="17"/>
      <c r="C50" s="17"/>
      <c r="D50" s="17"/>
      <c r="E50" s="17"/>
      <c r="F50" s="17"/>
      <c r="G50" s="17"/>
      <c r="H50" s="17"/>
      <c r="I50" s="39"/>
      <c r="J50" s="39"/>
      <c r="K50" s="17"/>
      <c r="L50" s="144"/>
      <c r="M50" s="120"/>
      <c r="N50" s="121"/>
      <c r="O50" s="53"/>
      <c r="P50" s="120"/>
      <c r="Q50" s="81"/>
    </row>
    <row r="51" spans="1:21" x14ac:dyDescent="0.25">
      <c r="A51" s="17">
        <v>1</v>
      </c>
      <c r="B51" s="37">
        <v>40862</v>
      </c>
      <c r="C51" s="38">
        <v>0.91666666666666663</v>
      </c>
      <c r="D51">
        <v>3</v>
      </c>
      <c r="E51" s="17" t="s">
        <v>91</v>
      </c>
      <c r="F51" s="109" t="s">
        <v>147</v>
      </c>
      <c r="J51" s="39"/>
      <c r="L51" s="144"/>
      <c r="M51" s="120"/>
      <c r="N51" s="40" t="s">
        <v>18</v>
      </c>
      <c r="O51" s="40" t="s">
        <v>18</v>
      </c>
      <c r="P51" s="120"/>
      <c r="Q51" s="81"/>
    </row>
    <row r="52" spans="1:21" x14ac:dyDescent="0.25">
      <c r="A52" s="17">
        <f>A51+1</f>
        <v>2</v>
      </c>
      <c r="B52" s="37">
        <v>40863</v>
      </c>
      <c r="C52" s="38">
        <v>4.1666666666666664E-2</v>
      </c>
      <c r="D52">
        <v>3</v>
      </c>
      <c r="E52" s="17" t="s">
        <v>91</v>
      </c>
      <c r="F52" s="41" t="s">
        <v>92</v>
      </c>
      <c r="G52" s="35" t="s">
        <v>18</v>
      </c>
      <c r="H52" s="35" t="s">
        <v>18</v>
      </c>
      <c r="J52" s="39"/>
      <c r="K52" s="35" t="s">
        <v>18</v>
      </c>
      <c r="L52" s="48">
        <f>((DatafromPier!S21/1000)/0.125)/('TrapsTable2-Fluxes'!D52*2/24)</f>
        <v>4.2401267749386715</v>
      </c>
      <c r="M52" s="120"/>
      <c r="N52" s="40" t="s">
        <v>18</v>
      </c>
      <c r="O52" s="40" t="s">
        <v>18</v>
      </c>
      <c r="P52" s="120"/>
      <c r="Q52" s="81">
        <f>H54/L52</f>
        <v>0.3808001610112236</v>
      </c>
    </row>
    <row r="53" spans="1:21" x14ac:dyDescent="0.25">
      <c r="A53" s="17">
        <f>A52+1</f>
        <v>3</v>
      </c>
      <c r="B53" s="37">
        <v>40863</v>
      </c>
      <c r="C53" s="38">
        <v>0.16666666666666666</v>
      </c>
      <c r="D53">
        <v>3</v>
      </c>
      <c r="E53" s="17" t="s">
        <v>93</v>
      </c>
      <c r="F53" s="108" t="s">
        <v>153</v>
      </c>
      <c r="J53" s="39"/>
      <c r="L53" s="144"/>
      <c r="M53" s="120"/>
      <c r="N53" s="121"/>
      <c r="O53" s="120"/>
      <c r="P53" s="120"/>
      <c r="Q53" s="81"/>
    </row>
    <row r="54" spans="1:21" x14ac:dyDescent="0.25">
      <c r="A54" s="17">
        <f t="shared" ref="A54:A62" si="23">A53+1</f>
        <v>4</v>
      </c>
      <c r="B54" s="37">
        <v>40863</v>
      </c>
      <c r="C54" s="38">
        <v>0.29166666666666669</v>
      </c>
      <c r="D54">
        <v>3</v>
      </c>
      <c r="E54" s="17" t="s">
        <v>93</v>
      </c>
      <c r="F54" s="41" t="s">
        <v>94</v>
      </c>
      <c r="G54" s="48">
        <f>DatafromDiana!D29/0.125/(($D54+$D53)/24)/1000</f>
        <v>0.41919999999999996</v>
      </c>
      <c r="H54" s="48">
        <f>DatafromDiana!H29/0.125/(($D54+$D53)/24)/1000</f>
        <v>1.6146409586046464</v>
      </c>
      <c r="I54" s="48">
        <f>DatafromDiana!G29/0.125/(($D54+$D53)/24)/1000</f>
        <v>0.22442260390941285</v>
      </c>
      <c r="J54" s="39">
        <f>[1]DatafromStevo!D17/0.125/($D54/24)/1000</f>
        <v>5.521318022965553</v>
      </c>
      <c r="K54" s="48">
        <f>DatafromDiana!K29/0.125/(($D54+$D53)/24)/1000</f>
        <v>0.19411735940593455</v>
      </c>
      <c r="L54" s="144"/>
      <c r="M54" s="120">
        <f>DatafromFred!G24</f>
        <v>497.64728328775271</v>
      </c>
      <c r="N54" s="11">
        <f>H54/I54</f>
        <v>7.1946449710403897</v>
      </c>
      <c r="O54" s="48">
        <f>H54/J54</f>
        <v>0.29243759404704733</v>
      </c>
      <c r="P54" s="48">
        <f>H54/K54</f>
        <v>8.3178596883143232</v>
      </c>
      <c r="Q54" s="81"/>
      <c r="R54" s="214">
        <f t="shared" ref="R54" si="24">1000*H54/M54</f>
        <v>3.2445489261739193</v>
      </c>
      <c r="S54" s="50">
        <f>H54*12/G54/1000</f>
        <v>4.6220638127995615E-2</v>
      </c>
    </row>
    <row r="55" spans="1:21" x14ac:dyDescent="0.25">
      <c r="A55" s="17">
        <f t="shared" si="23"/>
        <v>5</v>
      </c>
      <c r="B55" s="37">
        <v>40863</v>
      </c>
      <c r="C55" s="38">
        <v>0.41666666666666669</v>
      </c>
      <c r="D55">
        <v>3</v>
      </c>
      <c r="E55" s="17" t="s">
        <v>91</v>
      </c>
      <c r="F55" s="109" t="s">
        <v>148</v>
      </c>
      <c r="G55" s="117"/>
      <c r="H55" s="115"/>
      <c r="I55" s="115"/>
      <c r="K55" s="115"/>
      <c r="L55" s="144"/>
      <c r="M55" s="120"/>
      <c r="N55" s="11"/>
      <c r="O55" s="120"/>
      <c r="P55" s="120"/>
      <c r="Q55" s="81"/>
    </row>
    <row r="56" spans="1:21" x14ac:dyDescent="0.25">
      <c r="A56" s="17">
        <f t="shared" si="23"/>
        <v>6</v>
      </c>
      <c r="B56" s="37">
        <v>40863</v>
      </c>
      <c r="C56" s="38">
        <v>0.54166666666666663</v>
      </c>
      <c r="D56">
        <v>3</v>
      </c>
      <c r="E56" s="17" t="s">
        <v>91</v>
      </c>
      <c r="F56" s="41" t="s">
        <v>92</v>
      </c>
      <c r="G56" s="116"/>
      <c r="H56" s="48"/>
      <c r="I56" s="115"/>
      <c r="K56" s="48"/>
      <c r="L56" s="48">
        <f>((DatafromPier!S22/1000)/0.125)/('TrapsTable2-Fluxes'!D56*2/24)</f>
        <v>7.170923845506473</v>
      </c>
      <c r="N56" s="11"/>
      <c r="O56" s="120"/>
      <c r="P56" s="120"/>
      <c r="Q56" s="81">
        <f>H58/L56</f>
        <v>0.26625183410608066</v>
      </c>
    </row>
    <row r="57" spans="1:21" x14ac:dyDescent="0.25">
      <c r="A57" s="17">
        <f t="shared" si="23"/>
        <v>7</v>
      </c>
      <c r="B57" s="37">
        <v>40863</v>
      </c>
      <c r="C57" s="38">
        <v>0.66666666666666663</v>
      </c>
      <c r="D57">
        <v>3</v>
      </c>
      <c r="E57" s="17" t="s">
        <v>91</v>
      </c>
      <c r="F57" s="108" t="s">
        <v>111</v>
      </c>
      <c r="G57" s="117"/>
      <c r="H57" s="115"/>
      <c r="I57" s="115"/>
      <c r="J57" s="48"/>
      <c r="K57" s="115"/>
      <c r="L57" s="144"/>
      <c r="N57" s="118"/>
      <c r="O57" s="36"/>
      <c r="P57" s="120"/>
      <c r="Q57" s="81"/>
    </row>
    <row r="58" spans="1:21" x14ac:dyDescent="0.25">
      <c r="A58" s="17">
        <f t="shared" si="23"/>
        <v>8</v>
      </c>
      <c r="B58" s="37">
        <v>40863</v>
      </c>
      <c r="C58" s="38">
        <v>0.79166666666666663</v>
      </c>
      <c r="D58">
        <v>3</v>
      </c>
      <c r="E58" s="17" t="s">
        <v>91</v>
      </c>
      <c r="F58" s="41" t="s">
        <v>94</v>
      </c>
      <c r="G58" s="48">
        <f>DatafromDiana!D31/0.125/(($D58+$D57)/24)/1000</f>
        <v>0.42409638554216866</v>
      </c>
      <c r="H58" s="48">
        <f>DatafromDiana!H31/0.125/(($D58+$D57)/24)/1000</f>
        <v>1.9092716261011276</v>
      </c>
      <c r="I58" s="48">
        <f>DatafromDiana!G31/0.125/(($D58+$D57)/24)/1000</f>
        <v>0.30036902748139993</v>
      </c>
      <c r="J58" s="39">
        <f>[1]DatafromStevo!D18/0.125/($D58/24)/1000</f>
        <v>5.6399400898652026</v>
      </c>
      <c r="K58" s="48">
        <f>DatafromDiana!K31/0.125/(($D58+$D57)/24)/1000</f>
        <v>0.26550547454984524</v>
      </c>
      <c r="L58" s="144"/>
      <c r="M58" s="120">
        <f>DatafromFred!G26</f>
        <v>534.53114423688373</v>
      </c>
      <c r="N58" s="11">
        <f>H58/I58</f>
        <v>6.3564197750693765</v>
      </c>
      <c r="O58" s="48">
        <f>H58/J58</f>
        <v>0.33852693391761901</v>
      </c>
      <c r="P58" s="48">
        <f>H58/K58</f>
        <v>7.1910819516555256</v>
      </c>
      <c r="Q58" s="81"/>
      <c r="R58" s="214">
        <f t="shared" ref="R58" si="25">1000*H58/M58</f>
        <v>3.5718622697408469</v>
      </c>
      <c r="S58" s="50">
        <f>H58*12/G58/1000</f>
        <v>5.4023708511270543E-2</v>
      </c>
    </row>
    <row r="59" spans="1:21" x14ac:dyDescent="0.25">
      <c r="A59" s="17">
        <f t="shared" si="23"/>
        <v>9</v>
      </c>
      <c r="B59" s="37">
        <v>40863</v>
      </c>
      <c r="C59" s="38">
        <v>0.91666666666666663</v>
      </c>
      <c r="D59">
        <v>3</v>
      </c>
      <c r="E59" s="17" t="s">
        <v>91</v>
      </c>
      <c r="F59" s="109" t="s">
        <v>149</v>
      </c>
      <c r="G59" s="117"/>
      <c r="H59" s="115"/>
      <c r="I59" s="115"/>
      <c r="K59" s="115"/>
      <c r="L59" s="144"/>
      <c r="M59" s="120"/>
      <c r="N59" s="11"/>
      <c r="O59" s="120"/>
      <c r="P59" s="120"/>
      <c r="Q59" s="81"/>
    </row>
    <row r="60" spans="1:21" x14ac:dyDescent="0.25">
      <c r="A60" s="17">
        <f t="shared" si="23"/>
        <v>10</v>
      </c>
      <c r="B60" s="37">
        <v>40863</v>
      </c>
      <c r="C60" s="38">
        <v>4.1666666666666664E-2</v>
      </c>
      <c r="D60">
        <v>3</v>
      </c>
      <c r="E60" s="17" t="s">
        <v>91</v>
      </c>
      <c r="F60" s="41" t="s">
        <v>92</v>
      </c>
      <c r="G60" s="116"/>
      <c r="H60" s="48"/>
      <c r="I60" s="115"/>
      <c r="J60" s="48"/>
      <c r="K60" s="48"/>
      <c r="L60" s="48">
        <f>((DatafromPier!S23/1000)/0.125)/('TrapsTable2-Fluxes'!D60*2/24)</f>
        <v>5.8268459183125332</v>
      </c>
      <c r="N60" s="11"/>
      <c r="O60" s="120"/>
      <c r="P60" s="120"/>
      <c r="Q60" s="81">
        <f>H62/L60</f>
        <v>0.54516330802660129</v>
      </c>
    </row>
    <row r="61" spans="1:21" x14ac:dyDescent="0.25">
      <c r="A61" s="17">
        <f t="shared" si="23"/>
        <v>11</v>
      </c>
      <c r="B61" s="37">
        <v>40864</v>
      </c>
      <c r="C61" s="38">
        <v>0.16666666666666666</v>
      </c>
      <c r="D61">
        <v>3</v>
      </c>
      <c r="E61" s="17" t="s">
        <v>93</v>
      </c>
      <c r="F61" s="109" t="s">
        <v>154</v>
      </c>
      <c r="G61" s="48" t="s">
        <v>18</v>
      </c>
      <c r="H61" s="115"/>
      <c r="I61" s="115"/>
      <c r="J61" s="48"/>
      <c r="K61" s="115"/>
      <c r="L61" s="143"/>
      <c r="M61" s="11"/>
      <c r="N61" s="11"/>
      <c r="O61" s="120"/>
      <c r="P61" s="120"/>
      <c r="Q61" s="123"/>
    </row>
    <row r="62" spans="1:21" x14ac:dyDescent="0.25">
      <c r="A62" s="17">
        <f t="shared" si="23"/>
        <v>12</v>
      </c>
      <c r="B62" s="37">
        <v>40864</v>
      </c>
      <c r="C62" s="38">
        <v>0.29166666666666669</v>
      </c>
      <c r="D62" s="17">
        <v>3</v>
      </c>
      <c r="E62" s="17" t="s">
        <v>93</v>
      </c>
      <c r="F62" s="41" t="s">
        <v>94</v>
      </c>
      <c r="G62" s="48">
        <f>DatafromDiana!D33/0.125/(($D62+$D61)/24)/1000</f>
        <v>0.41919999999999996</v>
      </c>
      <c r="H62" s="48">
        <f>DatafromDiana!H33/0.125/(($D62+$D61)/24)/1000</f>
        <v>3.1765825961885601</v>
      </c>
      <c r="I62" s="48">
        <f>DatafromDiana!G33/0.125/(($D62+$D61)/24)/1000</f>
        <v>0.54877719838307804</v>
      </c>
      <c r="J62" s="39">
        <f>[1]DatafromStevo!D19/0.125/($D62/24)/1000</f>
        <v>10.341687468796806</v>
      </c>
      <c r="K62" s="48">
        <f>DatafromDiana!K33/0.125/(($D62+$D61)/24)/1000</f>
        <v>0.27598844931715133</v>
      </c>
      <c r="L62" s="143"/>
      <c r="M62" s="120">
        <f>DatafromFred!G28</f>
        <v>485.91488490531265</v>
      </c>
      <c r="N62" s="11">
        <f>H62/I62</f>
        <v>5.7884740939457231</v>
      </c>
      <c r="O62" s="48">
        <f>H62/J62</f>
        <v>0.30716288862654412</v>
      </c>
      <c r="P62" s="48">
        <f>H62/K62</f>
        <v>11.509838922781146</v>
      </c>
      <c r="Q62" s="123"/>
      <c r="R62" s="214">
        <f t="shared" ref="R62" si="26">1000*H62/M62</f>
        <v>6.5373230886054499</v>
      </c>
      <c r="S62" s="50">
        <f>H62*12/G62/1000</f>
        <v>9.0932707906161078E-2</v>
      </c>
      <c r="U62" s="106"/>
    </row>
    <row r="63" spans="1:21" x14ac:dyDescent="0.25">
      <c r="A63" s="29"/>
      <c r="B63" s="29"/>
      <c r="C63" s="29"/>
      <c r="D63" s="29"/>
      <c r="E63" s="29"/>
      <c r="F63" s="45" t="s">
        <v>95</v>
      </c>
      <c r="G63" s="50">
        <f>($D54*G54+$D58*G58+$D62*G62)/($D54+$D58+$D62)</f>
        <v>0.42083212851405616</v>
      </c>
      <c r="H63" s="50">
        <f>($D54*H54+$D58*H58+$D62*H62)/($D54+$D58+$D62)</f>
        <v>2.2334983936314448</v>
      </c>
      <c r="I63" s="50">
        <f>($D54*I54+$D58*I58+$D62*I62)/($D54+$D58+$D62)</f>
        <v>0.35785627659129698</v>
      </c>
      <c r="J63" s="50">
        <f>($D54*J54+$D58*J58+$D62*J62)/($D54+$D58+$D62)</f>
        <v>7.1676485272091872</v>
      </c>
      <c r="K63" s="50">
        <f>($D54*K54+$D58*K58+$D62*K62)/($D54+$D58+$D62)</f>
        <v>0.24520376109097708</v>
      </c>
      <c r="L63" s="50">
        <f>($D52*L52+$D56*L56+$D60*L60)/($D52+$D56+$D60)</f>
        <v>5.7459655129192262</v>
      </c>
      <c r="M63" s="30">
        <f>($D54*M54+$D58*M58+$D62*M62)/($D54+$D58+$D62)</f>
        <v>506.03110414331633</v>
      </c>
      <c r="N63" s="235">
        <f>H63/I63</f>
        <v>6.2413279848163574</v>
      </c>
      <c r="O63" s="119">
        <f>H63/J63</f>
        <v>0.31160824713332935</v>
      </c>
      <c r="P63" s="119">
        <f>H63/K63</f>
        <v>9.1087444323611244</v>
      </c>
      <c r="Q63" s="50">
        <f>H63/L63</f>
        <v>0.38870723964660908</v>
      </c>
      <c r="R63" s="213">
        <f>H63/M63*1000</f>
        <v>4.4137571294409632</v>
      </c>
      <c r="S63" s="50">
        <f>H63*12/G63/1000</f>
        <v>6.368805732160758E-2</v>
      </c>
      <c r="T63" s="106"/>
      <c r="U63" s="106"/>
    </row>
    <row r="64" spans="1:21" x14ac:dyDescent="0.25">
      <c r="A64" s="29"/>
      <c r="B64" s="29"/>
      <c r="C64" s="29"/>
      <c r="D64" s="29"/>
      <c r="E64" s="29"/>
      <c r="F64" s="46" t="s">
        <v>96</v>
      </c>
      <c r="G64" s="50">
        <f>SQRT(1/($D54+$D58+$D62)*($D54*(G54-G63)^2+$D58*(G58-G63)^2+$D62*(G62-G63)^2))</f>
        <v>2.3081782801141724E-3</v>
      </c>
      <c r="H64" s="50">
        <f>SQRT(1/($D54+$D58+$D62)*($D54*(H54-H63)^2+$D58*(H58-H63)^2+$D62*(H62-H63)^2))</f>
        <v>0.67762215006690774</v>
      </c>
      <c r="I64" s="50">
        <f>SQRT(1/($D54+$D58+$D62)*($D54*(I54-I63)^2+$D58*(I58-I63)^2+$D62*(I62-I63)^2))</f>
        <v>0.13851609677028268</v>
      </c>
      <c r="J64" s="50">
        <f>SQRT(1/($D54+$D58+$D62)*($D54*(J54-J63)^2+$D58*(J58-J63)^2+$D62*(J62-J63)^2))</f>
        <v>2.2449068578636506</v>
      </c>
      <c r="K64" s="50">
        <f>SQRT(1/($D54+$D58+$D62)*($D54*(K54-K63)^2+$D58*(K58-K63)^2+$D62*(K62-K63)^2))</f>
        <v>3.6376169102285708E-2</v>
      </c>
      <c r="L64" s="50">
        <f>SQRT(1/($D52+$D56+$D60)*($D52*(L52-L63)^2+$D56*(L56-L63)^2+$D60*(L60-L63)^2))</f>
        <v>1.197858950292741</v>
      </c>
      <c r="M64" s="30">
        <f>SQRT(1/($D54+$D58+$D62)*($D54*(M54-M63)^2+$D58*(M58-M63)^2+$D62*(M62-M63)^2))</f>
        <v>20.713948713403749</v>
      </c>
      <c r="N64" s="234">
        <f>STDEV(N54:N62)</f>
        <v>0.70740138434706201</v>
      </c>
      <c r="O64" s="234">
        <f t="shared" ref="O64:S64" si="27">STDEV(O54:O62)</f>
        <v>2.3539912514630064E-2</v>
      </c>
      <c r="P64" s="234">
        <f t="shared" si="27"/>
        <v>2.2401644759832373</v>
      </c>
      <c r="Q64" s="234">
        <f>STDEV(Q52:Q60)</f>
        <v>0.14019520532581428</v>
      </c>
      <c r="R64" s="239">
        <f t="shared" si="27"/>
        <v>1.8139943760421258</v>
      </c>
      <c r="S64" s="234">
        <f t="shared" si="27"/>
        <v>2.3882808766928006E-2</v>
      </c>
      <c r="T64" s="106"/>
      <c r="U64" s="106"/>
    </row>
    <row r="65" spans="1:21" x14ac:dyDescent="0.25">
      <c r="A65" s="51"/>
      <c r="B65" s="51"/>
      <c r="C65" s="51"/>
      <c r="D65" s="51"/>
      <c r="E65" s="51"/>
      <c r="F65" s="51"/>
      <c r="G65" s="51"/>
      <c r="H65" s="51"/>
      <c r="I65" s="52"/>
      <c r="J65" s="52"/>
      <c r="K65" s="51"/>
      <c r="L65" s="52"/>
      <c r="M65" s="52"/>
      <c r="N65" s="51"/>
      <c r="O65" s="53"/>
      <c r="P65" s="17"/>
      <c r="Q65" s="111"/>
      <c r="R65" s="111"/>
      <c r="S65" s="111"/>
      <c r="T65" s="106"/>
    </row>
    <row r="66" spans="1:21" s="106" customFormat="1" x14ac:dyDescent="0.25">
      <c r="A66" s="17" t="s">
        <v>100</v>
      </c>
      <c r="B66" s="17"/>
      <c r="C66" s="17"/>
      <c r="D66" s="17"/>
      <c r="E66" s="17"/>
      <c r="F66" s="17"/>
      <c r="G66" s="17"/>
      <c r="H66" s="17"/>
      <c r="I66" s="39"/>
      <c r="J66" s="39"/>
      <c r="K66" s="17"/>
      <c r="L66" s="39"/>
      <c r="M66" s="39"/>
      <c r="N66" s="17"/>
      <c r="O66" s="105"/>
      <c r="P66" s="105"/>
      <c r="T66"/>
      <c r="U66"/>
    </row>
    <row r="67" spans="1:21" s="106" customFormat="1" x14ac:dyDescent="0.25">
      <c r="A67" s="17" t="s">
        <v>151</v>
      </c>
      <c r="B67" s="17"/>
      <c r="C67" s="17"/>
      <c r="D67" s="17"/>
      <c r="E67" s="17"/>
      <c r="F67" s="17"/>
      <c r="G67" s="17"/>
      <c r="H67" s="17"/>
      <c r="I67" s="39"/>
      <c r="J67" s="39"/>
      <c r="K67" s="17"/>
      <c r="L67" s="39"/>
      <c r="M67" s="39"/>
      <c r="N67" s="17"/>
      <c r="O67" s="17"/>
      <c r="P67" s="17"/>
      <c r="T67"/>
      <c r="U67"/>
    </row>
    <row r="68" spans="1:21" s="106" customFormat="1" x14ac:dyDescent="0.25">
      <c r="A68" s="17" t="s">
        <v>308</v>
      </c>
      <c r="B68" s="17"/>
      <c r="C68" s="17"/>
      <c r="D68" s="17"/>
      <c r="E68" s="17"/>
      <c r="F68" s="17"/>
      <c r="G68" s="17"/>
      <c r="H68" s="17"/>
      <c r="I68" s="39"/>
      <c r="J68" s="39"/>
      <c r="K68" s="17"/>
      <c r="L68" s="39"/>
      <c r="M68" s="39"/>
      <c r="N68" s="17"/>
      <c r="O68" s="17"/>
      <c r="P68" s="17"/>
      <c r="T68"/>
      <c r="U68"/>
    </row>
    <row r="69" spans="1:21" x14ac:dyDescent="0.25">
      <c r="A69" s="17" t="s">
        <v>309</v>
      </c>
    </row>
    <row r="70" spans="1:21" x14ac:dyDescent="0.25">
      <c r="A70" s="17" t="s">
        <v>315</v>
      </c>
    </row>
    <row r="71" spans="1:21" x14ac:dyDescent="0.25">
      <c r="A71" s="17" t="s">
        <v>18</v>
      </c>
    </row>
  </sheetData>
  <pageMargins left="0.70866141732283461" right="0.70866141732283461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workbookViewId="0">
      <selection activeCell="D25" sqref="D25"/>
    </sheetView>
  </sheetViews>
  <sheetFormatPr baseColWidth="10" defaultColWidth="9.140625" defaultRowHeight="15" x14ac:dyDescent="0.25"/>
  <cols>
    <col min="2" max="2" width="10.7109375" bestFit="1" customWidth="1"/>
    <col min="3" max="3" width="4.85546875" bestFit="1" customWidth="1"/>
    <col min="4" max="4" width="10.7109375" bestFit="1" customWidth="1"/>
    <col min="5" max="5" width="4.85546875" customWidth="1"/>
    <col min="6" max="6" width="10.7109375" bestFit="1" customWidth="1"/>
    <col min="7" max="7" width="4.85546875" customWidth="1"/>
    <col min="8" max="8" width="10.28515625" bestFit="1" customWidth="1"/>
    <col min="9" max="9" width="4.85546875" bestFit="1" customWidth="1"/>
    <col min="10" max="10" width="9.5703125" bestFit="1" customWidth="1"/>
    <col min="11" max="11" width="4.85546875" bestFit="1" customWidth="1"/>
    <col min="12" max="12" width="8.7109375" bestFit="1" customWidth="1"/>
    <col min="13" max="13" width="5.5703125" bestFit="1" customWidth="1"/>
    <col min="14" max="14" width="5.5703125" customWidth="1"/>
    <col min="15" max="15" width="10.5703125" bestFit="1" customWidth="1"/>
    <col min="16" max="16" width="5.7109375" bestFit="1" customWidth="1"/>
    <col min="18" max="18" width="4.85546875" bestFit="1" customWidth="1"/>
    <col min="19" max="19" width="7.28515625" bestFit="1" customWidth="1"/>
    <col min="20" max="20" width="4.85546875" bestFit="1" customWidth="1"/>
    <col min="21" max="21" width="9.140625" bestFit="1" customWidth="1"/>
    <col min="23" max="23" width="9.28515625" bestFit="1" customWidth="1"/>
    <col min="25" max="25" width="13"/>
  </cols>
  <sheetData>
    <row r="1" spans="1:25" x14ac:dyDescent="0.25">
      <c r="B1" s="43"/>
      <c r="C1" s="43"/>
      <c r="D1" s="43"/>
      <c r="E1" s="43"/>
      <c r="F1" s="43"/>
      <c r="G1" s="43"/>
      <c r="H1" s="43"/>
      <c r="I1" s="43"/>
      <c r="J1" s="43" t="s">
        <v>256</v>
      </c>
      <c r="K1" s="43"/>
      <c r="L1" s="43"/>
      <c r="M1" s="43"/>
      <c r="N1" s="43"/>
      <c r="O1" s="43"/>
      <c r="P1" s="43"/>
      <c r="Y1" s="155"/>
    </row>
    <row r="2" spans="1:25" x14ac:dyDescent="0.25">
      <c r="A2" s="43"/>
      <c r="B2" s="147" t="s">
        <v>68</v>
      </c>
      <c r="C2" s="147" t="s">
        <v>18</v>
      </c>
      <c r="D2" s="147" t="s">
        <v>70</v>
      </c>
      <c r="E2" s="147" t="s">
        <v>18</v>
      </c>
      <c r="F2" s="147" t="s">
        <v>71</v>
      </c>
      <c r="G2" s="147" t="s">
        <v>18</v>
      </c>
      <c r="H2" s="147" t="s">
        <v>156</v>
      </c>
      <c r="I2" s="147" t="s">
        <v>18</v>
      </c>
      <c r="J2" s="147" t="s">
        <v>157</v>
      </c>
      <c r="K2" s="147"/>
      <c r="L2" s="147" t="s">
        <v>161</v>
      </c>
      <c r="M2" s="147" t="s">
        <v>18</v>
      </c>
      <c r="N2" s="147"/>
      <c r="O2" s="147" t="s">
        <v>159</v>
      </c>
      <c r="P2" s="147" t="s">
        <v>18</v>
      </c>
      <c r="Q2" s="147" t="s">
        <v>230</v>
      </c>
      <c r="R2" s="147"/>
      <c r="S2" s="147" t="s">
        <v>72</v>
      </c>
      <c r="U2" s="147" t="s">
        <v>73</v>
      </c>
      <c r="W2" s="147" t="s">
        <v>74</v>
      </c>
      <c r="Y2" s="154" t="s">
        <v>231</v>
      </c>
    </row>
    <row r="3" spans="1:25" ht="16.5" x14ac:dyDescent="0.25">
      <c r="A3" s="43"/>
      <c r="B3" s="149" t="s">
        <v>150</v>
      </c>
      <c r="C3" s="150"/>
      <c r="D3" s="149" t="s">
        <v>150</v>
      </c>
      <c r="E3" s="150"/>
      <c r="F3" s="149" t="s">
        <v>150</v>
      </c>
      <c r="G3" s="150"/>
      <c r="H3" s="149" t="s">
        <v>88</v>
      </c>
      <c r="I3" s="150"/>
      <c r="J3" s="151" t="s">
        <v>158</v>
      </c>
      <c r="K3" s="147"/>
      <c r="L3" s="147" t="s">
        <v>226</v>
      </c>
      <c r="M3" s="147"/>
      <c r="N3" s="147"/>
      <c r="O3" s="147" t="s">
        <v>160</v>
      </c>
      <c r="P3" s="147"/>
      <c r="Q3" s="147" t="s">
        <v>166</v>
      </c>
      <c r="R3" s="147"/>
      <c r="S3" s="147" t="s">
        <v>89</v>
      </c>
      <c r="U3" s="147" t="s">
        <v>89</v>
      </c>
      <c r="W3" s="147" t="s">
        <v>89</v>
      </c>
      <c r="Y3" s="154" t="s">
        <v>226</v>
      </c>
    </row>
    <row r="4" spans="1:25" x14ac:dyDescent="0.25">
      <c r="A4" s="148" t="s">
        <v>228</v>
      </c>
      <c r="B4" s="148" t="s">
        <v>95</v>
      </c>
      <c r="C4" s="148" t="s">
        <v>229</v>
      </c>
      <c r="D4" s="148" t="s">
        <v>95</v>
      </c>
      <c r="E4" s="148" t="s">
        <v>229</v>
      </c>
      <c r="F4" s="148" t="s">
        <v>95</v>
      </c>
      <c r="G4" s="148" t="s">
        <v>229</v>
      </c>
      <c r="H4" s="148" t="s">
        <v>95</v>
      </c>
      <c r="I4" s="148" t="s">
        <v>229</v>
      </c>
      <c r="J4" s="148" t="s">
        <v>95</v>
      </c>
      <c r="K4" s="148" t="s">
        <v>229</v>
      </c>
      <c r="L4" s="148" t="s">
        <v>95</v>
      </c>
      <c r="M4" s="148" t="s">
        <v>229</v>
      </c>
      <c r="N4" s="148"/>
      <c r="O4" s="148" t="s">
        <v>95</v>
      </c>
      <c r="P4" s="148" t="s">
        <v>229</v>
      </c>
      <c r="Q4" s="148" t="s">
        <v>95</v>
      </c>
      <c r="R4" s="148" t="s">
        <v>229</v>
      </c>
      <c r="S4" s="148" t="s">
        <v>95</v>
      </c>
      <c r="T4" s="148" t="s">
        <v>229</v>
      </c>
      <c r="U4" s="148" t="s">
        <v>95</v>
      </c>
      <c r="V4" s="148" t="s">
        <v>229</v>
      </c>
      <c r="W4" s="148" t="s">
        <v>95</v>
      </c>
      <c r="X4" s="148" t="s">
        <v>229</v>
      </c>
      <c r="Y4" s="159" t="s">
        <v>95</v>
      </c>
    </row>
    <row r="5" spans="1:25" x14ac:dyDescent="0.25">
      <c r="A5" s="147" t="s">
        <v>227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Y5" s="160"/>
    </row>
    <row r="6" spans="1:25" x14ac:dyDescent="0.25">
      <c r="A6" s="43" t="s">
        <v>26</v>
      </c>
      <c r="B6" s="152">
        <f>'TrapsTable2-Fluxes'!H18</f>
        <v>7.0221336240920094</v>
      </c>
      <c r="C6" s="152">
        <f>'TrapsTable2-Fluxes'!H19</f>
        <v>2.2763576085107466</v>
      </c>
      <c r="D6" s="152">
        <f>'TrapsTable2-Fluxes'!J18</f>
        <v>21.025491762356463</v>
      </c>
      <c r="E6" s="152">
        <f>'TrapsTable2-Fluxes'!J19</f>
        <v>10.410599214851523</v>
      </c>
      <c r="F6" s="152">
        <f>'TrapsTable2-Fluxes'!K18</f>
        <v>0.52043655635306729</v>
      </c>
      <c r="G6" s="152">
        <f>'TrapsTable2-Fluxes'!K19</f>
        <v>0.30763439506911472</v>
      </c>
      <c r="H6" s="152">
        <f>'TrapsTable2-Fluxes'!L18</f>
        <v>4.5793788744247674</v>
      </c>
      <c r="I6" s="152">
        <f>'TrapsTable2-Fluxes'!L19</f>
        <v>1.3759461907624859</v>
      </c>
      <c r="J6" s="215">
        <f>'TrapsTable2-Fluxes'!M18</f>
        <v>880.92962319703531</v>
      </c>
      <c r="K6" s="215">
        <f>'TrapsTable2-Fluxes'!M19</f>
        <v>226.24651357087279</v>
      </c>
      <c r="L6" s="152">
        <f>'TrapsTable2-Fluxes'!Q18</f>
        <v>1.533424906881959</v>
      </c>
      <c r="M6" s="152">
        <f>'TrapsTable2-Fluxes'!Q19</f>
        <v>1.3347643894667747</v>
      </c>
      <c r="N6" s="152">
        <f>B6/H6</f>
        <v>1.533424906881959</v>
      </c>
      <c r="O6" s="152">
        <f>B6/J6*1000</f>
        <v>7.9712765233249367</v>
      </c>
      <c r="P6" s="43">
        <f>((K6/J6)^2 + (C6/B6)^2)^1/2</f>
        <v>8.5522804926148194E-2</v>
      </c>
      <c r="Q6" s="152">
        <f>'TrapsTable2-Fluxes'!S18</f>
        <v>4.7802937622642844E-2</v>
      </c>
      <c r="R6" s="152">
        <f>'TrapsTable2-Fluxes'!S19</f>
        <v>6.3951535414340614E-3</v>
      </c>
      <c r="S6" s="152">
        <f>'TrapsTable2-Fluxes'!N18</f>
        <v>6.8956562845143052</v>
      </c>
      <c r="T6" s="152">
        <f>'TrapsTable2-Fluxes'!N19</f>
        <v>0.56664260937588262</v>
      </c>
      <c r="U6" s="152">
        <f>'TrapsTable2-Fluxes'!O18</f>
        <v>0.33398189699725689</v>
      </c>
      <c r="V6" s="152">
        <f>'TrapsTable2-Fluxes'!O19</f>
        <v>0.10274311904316963</v>
      </c>
      <c r="W6" s="152">
        <f>'TrapsTable2-Fluxes'!P18</f>
        <v>13.492775513886368</v>
      </c>
      <c r="X6" s="152" t="str">
        <f>'TrapsTable2-Fluxes'!P19</f>
        <v>n/a</v>
      </c>
      <c r="Y6" s="156">
        <f>1/'[2]Combined data'!$CC$38</f>
        <v>2.0399475486850376</v>
      </c>
    </row>
    <row r="7" spans="1:25" x14ac:dyDescent="0.25">
      <c r="A7" s="43" t="s">
        <v>34</v>
      </c>
      <c r="B7" s="152">
        <f>'TrapsTable2-Fluxes'!H33</f>
        <v>4.8655888514243131</v>
      </c>
      <c r="C7" s="152">
        <f>'TrapsTable2-Fluxes'!H34</f>
        <v>1.5444184720001783</v>
      </c>
      <c r="D7" s="152">
        <f>'TrapsTable2-Fluxes'!J33</f>
        <v>12.345208503034922</v>
      </c>
      <c r="E7" s="152">
        <f>'TrapsTable2-Fluxes'!J34</f>
        <v>2.4800531800612271</v>
      </c>
      <c r="F7" s="152">
        <f>'TrapsTable2-Fluxes'!K33</f>
        <v>0.93774562349287371</v>
      </c>
      <c r="G7" s="152">
        <f>'TrapsTable2-Fluxes'!K34</f>
        <v>0.20062847214621071</v>
      </c>
      <c r="H7" s="152">
        <f>'TrapsTable2-Fluxes'!L33</f>
        <v>1.890422377680373</v>
      </c>
      <c r="I7" s="152">
        <f>'TrapsTable2-Fluxes'!L34</f>
        <v>0.28600626073913971</v>
      </c>
      <c r="J7" s="59">
        <f>'TrapsTable2-Fluxes'!M33</f>
        <v>1129.1587074967319</v>
      </c>
      <c r="K7" s="59">
        <f>'TrapsTable2-Fluxes'!M34</f>
        <v>176.98281334828434</v>
      </c>
      <c r="L7" s="152">
        <f>'TrapsTable2-Fluxes'!Q33</f>
        <v>2.5738104398629651</v>
      </c>
      <c r="M7" s="152">
        <f>'TrapsTable2-Fluxes'!Q34</f>
        <v>1.6832291520637133</v>
      </c>
      <c r="N7" s="152">
        <f t="shared" ref="N7:N9" si="0">B7/H7</f>
        <v>2.5738104398629651</v>
      </c>
      <c r="O7" s="152">
        <f>B7/J7*1000</f>
        <v>4.3090389500790307</v>
      </c>
      <c r="P7" s="43">
        <f>((K7/J7)^2 + (C7/B7)^2)^1/2</f>
        <v>6.2660138512283303E-2</v>
      </c>
      <c r="Q7" s="152">
        <f>'TrapsTable2-Fluxes'!S33</f>
        <v>4.3342605282673932E-2</v>
      </c>
      <c r="R7" s="152">
        <f>'TrapsTable2-Fluxes'!S34</f>
        <v>1.1774077352972923E-2</v>
      </c>
      <c r="S7" s="152">
        <f>'TrapsTable2-Fluxes'!N33</f>
        <v>6.7386110528580385</v>
      </c>
      <c r="T7" s="152">
        <f>'TrapsTable2-Fluxes'!N34</f>
        <v>1.0057735299369603</v>
      </c>
      <c r="U7" s="152">
        <f>'TrapsTable2-Fluxes'!O33</f>
        <v>0.39412771766699334</v>
      </c>
      <c r="V7" s="152">
        <f>'TrapsTable2-Fluxes'!O34</f>
        <v>8.1046039682828586E-2</v>
      </c>
      <c r="W7" s="152">
        <f>'TrapsTable2-Fluxes'!P33</f>
        <v>5.1886020361270058</v>
      </c>
      <c r="X7" s="152">
        <f>'TrapsTable2-Fluxes'!P34</f>
        <v>2.8037900442583692</v>
      </c>
      <c r="Y7" s="156">
        <f>1/'[2]Combined data'!$DA$38</f>
        <v>2.5897112212713664</v>
      </c>
    </row>
    <row r="8" spans="1:25" x14ac:dyDescent="0.25">
      <c r="A8" s="43" t="s">
        <v>113</v>
      </c>
      <c r="B8" s="152">
        <f>'TrapsTable2-Fluxes'!H48</f>
        <v>1.9989623172715349</v>
      </c>
      <c r="C8" s="152">
        <f>'TrapsTable2-Fluxes'!H49</f>
        <v>1.0004339744908668</v>
      </c>
      <c r="D8" s="152">
        <f>'TrapsTable2-Fluxes'!J48</f>
        <v>14.254418372441339</v>
      </c>
      <c r="E8" s="152">
        <f>'TrapsTable2-Fluxes'!J49</f>
        <v>12.408207295054764</v>
      </c>
      <c r="F8" s="152">
        <f>'TrapsTable2-Fluxes'!K48</f>
        <v>0.46243280180827839</v>
      </c>
      <c r="G8" s="152">
        <f>'TrapsTable2-Fluxes'!K49</f>
        <v>0.24371309776291372</v>
      </c>
      <c r="H8" s="152">
        <f>'TrapsTable2-Fluxes'!L48</f>
        <v>0.89539310377758285</v>
      </c>
      <c r="I8" s="152">
        <f>'TrapsTable2-Fluxes'!L49</f>
        <v>0.35827912128597095</v>
      </c>
      <c r="J8" s="59">
        <f>'TrapsTable2-Fluxes'!M48</f>
        <v>955.22675113864227</v>
      </c>
      <c r="K8" s="215">
        <f>'TrapsTable2-Fluxes'!M49</f>
        <v>546.14396125172766</v>
      </c>
      <c r="L8" s="152">
        <f>'TrapsTable2-Fluxes'!Q48</f>
        <v>2.2324968874990136</v>
      </c>
      <c r="M8" s="152">
        <f>'TrapsTable2-Fluxes'!Q49</f>
        <v>0.43636171178194166</v>
      </c>
      <c r="N8" s="152">
        <f t="shared" si="0"/>
        <v>2.2324968874990136</v>
      </c>
      <c r="O8" s="152">
        <f>B8/J8*1000</f>
        <v>2.0926573872525518</v>
      </c>
      <c r="P8" s="43">
        <f>((K8/J8)^2 + (C8/B8)^2)^1/2</f>
        <v>0.2886833223283149</v>
      </c>
      <c r="Q8" s="152">
        <f>'TrapsTable2-Fluxes'!S48</f>
        <v>3.0736324716073023E-2</v>
      </c>
      <c r="R8" s="152">
        <f>'TrapsTable2-Fluxes'!S49</f>
        <v>1.1557754150818672E-2</v>
      </c>
      <c r="S8" s="152">
        <f>'TrapsTable2-Fluxes'!N48</f>
        <v>7.4623546082390586</v>
      </c>
      <c r="T8" s="152">
        <f>'TrapsTable2-Fluxes'!N49</f>
        <v>0.48333520022327375</v>
      </c>
      <c r="U8" s="152">
        <f>'TrapsTable2-Fluxes'!O48</f>
        <v>0.14023457604809833</v>
      </c>
      <c r="V8" s="152">
        <f>'TrapsTable2-Fluxes'!O49</f>
        <v>7.6749321340332979E-2</v>
      </c>
      <c r="W8" s="152">
        <f>'TrapsTable2-Fluxes'!P48</f>
        <v>4.3227087469895604</v>
      </c>
      <c r="X8" s="152">
        <f>'TrapsTable2-Fluxes'!P49</f>
        <v>1.5415507706257796</v>
      </c>
      <c r="Y8" s="156">
        <f>1/'[2]Combined data'!$IO$38</f>
        <v>3.0476948858001447</v>
      </c>
    </row>
    <row r="9" spans="1:25" x14ac:dyDescent="0.25">
      <c r="A9" s="43" t="s">
        <v>51</v>
      </c>
      <c r="B9" s="152">
        <f>'TrapsTable2-Fluxes'!H63</f>
        <v>2.2334983936314448</v>
      </c>
      <c r="C9" s="152">
        <f>'TrapsTable2-Fluxes'!H64</f>
        <v>0.67762215006690774</v>
      </c>
      <c r="D9" s="152">
        <f>'TrapsTable2-Fluxes'!J63</f>
        <v>7.1676485272091872</v>
      </c>
      <c r="E9" s="152">
        <f>'TrapsTable2-Fluxes'!J64</f>
        <v>2.2449068578636506</v>
      </c>
      <c r="F9" s="152">
        <f>'TrapsTable2-Fluxes'!K63</f>
        <v>0.24520376109097708</v>
      </c>
      <c r="G9" s="152">
        <f>'TrapsTable2-Fluxes'!K64</f>
        <v>3.6376169102285708E-2</v>
      </c>
      <c r="H9" s="152">
        <f>'TrapsTable2-Fluxes'!L63</f>
        <v>5.7459655129192262</v>
      </c>
      <c r="I9" s="152">
        <f>'TrapsTable2-Fluxes'!L64</f>
        <v>1.197858950292741</v>
      </c>
      <c r="J9" s="215">
        <f>'TrapsTable2-Fluxes'!M63</f>
        <v>506.03110414331633</v>
      </c>
      <c r="K9" s="59">
        <f>'TrapsTable2-Fluxes'!M64</f>
        <v>20.713948713403749</v>
      </c>
      <c r="L9" s="152">
        <f>'TrapsTable2-Fluxes'!Q63</f>
        <v>0.38870723964660908</v>
      </c>
      <c r="M9" s="152">
        <f>'TrapsTable2-Fluxes'!Q64</f>
        <v>0.14019520532581428</v>
      </c>
      <c r="N9" s="152">
        <f t="shared" si="0"/>
        <v>0.38870723964660908</v>
      </c>
      <c r="O9" s="152">
        <f>B9/J9*1000</f>
        <v>4.4137571294409632</v>
      </c>
      <c r="P9" s="43">
        <f>((K9/J9)^2 + (C9/B9)^2)^1/2</f>
        <v>4.6860693685536005E-2</v>
      </c>
      <c r="Q9" s="153">
        <f>'TrapsTable2-Fluxes'!S63</f>
        <v>6.368805732160758E-2</v>
      </c>
      <c r="R9" s="153">
        <f>'TrapsTable2-Fluxes'!S64</f>
        <v>2.3882808766928006E-2</v>
      </c>
      <c r="S9" s="152">
        <f>'TrapsTable2-Fluxes'!N63</f>
        <v>6.2413279848163574</v>
      </c>
      <c r="T9" s="152">
        <f>'TrapsTable2-Fluxes'!N64</f>
        <v>0.70740138434706201</v>
      </c>
      <c r="U9" s="152">
        <f>'TrapsTable2-Fluxes'!O63</f>
        <v>0.31160824713332935</v>
      </c>
      <c r="V9" s="152">
        <f>'TrapsTable2-Fluxes'!O64</f>
        <v>2.3539912514630064E-2</v>
      </c>
      <c r="W9" s="152">
        <f>'TrapsTable2-Fluxes'!P63</f>
        <v>9.1087444323611244</v>
      </c>
      <c r="X9" s="152">
        <f>'TrapsTable2-Fluxes'!P64</f>
        <v>2.2401644759832373</v>
      </c>
      <c r="Y9" s="156">
        <f>1/'[2]Combined data'!$HU$38</f>
        <v>2.2175799575242929</v>
      </c>
    </row>
    <row r="10" spans="1:25" x14ac:dyDescent="0.25">
      <c r="A10" s="180" t="s">
        <v>252</v>
      </c>
      <c r="B10" s="43"/>
      <c r="C10" s="43"/>
      <c r="D10" s="43"/>
      <c r="E10" s="43"/>
      <c r="F10" s="43"/>
      <c r="G10" s="43"/>
      <c r="H10" s="43"/>
      <c r="I10" s="43"/>
      <c r="K10" s="43"/>
      <c r="L10" s="181" t="s">
        <v>254</v>
      </c>
      <c r="M10" s="182"/>
      <c r="N10" s="182"/>
      <c r="O10" s="182"/>
      <c r="P10" s="182"/>
      <c r="Q10" s="181">
        <v>0.5</v>
      </c>
      <c r="R10" s="181"/>
      <c r="S10" s="183"/>
      <c r="T10" s="183"/>
      <c r="U10" s="184" t="s">
        <v>253</v>
      </c>
      <c r="V10" s="117"/>
      <c r="W10" s="184" t="s">
        <v>255</v>
      </c>
      <c r="Y10" s="155"/>
    </row>
    <row r="11" spans="1:25" s="217" customFormat="1" x14ac:dyDescent="0.25">
      <c r="A11" s="216"/>
      <c r="B11" s="216"/>
      <c r="C11" s="216"/>
      <c r="D11" s="216"/>
      <c r="E11" s="216"/>
      <c r="F11" s="216"/>
      <c r="G11" s="216"/>
      <c r="H11" s="216"/>
      <c r="I11" s="216"/>
      <c r="L11" s="216"/>
      <c r="M11" s="216"/>
      <c r="N11" s="216"/>
      <c r="O11" s="216"/>
      <c r="P11" s="216"/>
      <c r="Q11" s="216"/>
      <c r="R11" s="216"/>
      <c r="Y11" s="218"/>
    </row>
    <row r="12" spans="1:25" s="123" customFormat="1" x14ac:dyDescent="0.25">
      <c r="A12" s="219"/>
      <c r="B12" s="219"/>
      <c r="C12" s="219"/>
      <c r="D12" s="219"/>
      <c r="E12" s="219"/>
      <c r="F12" s="219"/>
      <c r="G12" s="219"/>
      <c r="H12" s="219"/>
      <c r="I12" s="219"/>
      <c r="L12" s="219"/>
      <c r="M12" s="219"/>
      <c r="N12" s="219"/>
      <c r="O12" s="219"/>
      <c r="P12" s="219"/>
      <c r="Q12" s="219"/>
      <c r="R12" s="219"/>
      <c r="Y12" s="220"/>
    </row>
    <row r="13" spans="1:25" s="123" customFormat="1" x14ac:dyDescent="0.25">
      <c r="A13" s="150"/>
      <c r="B13" s="219"/>
      <c r="C13" s="219"/>
      <c r="D13" s="219"/>
      <c r="E13" s="219"/>
      <c r="F13" s="219"/>
      <c r="G13" s="219"/>
      <c r="H13" s="219"/>
      <c r="I13" s="219"/>
      <c r="K13" s="219"/>
      <c r="L13" s="219"/>
      <c r="M13" s="219"/>
      <c r="N13" s="219"/>
      <c r="O13" s="219"/>
      <c r="P13" s="219"/>
      <c r="Q13" s="219"/>
      <c r="R13" s="219"/>
      <c r="Y13" s="220"/>
    </row>
    <row r="14" spans="1:25" s="123" customFormat="1" x14ac:dyDescent="0.25">
      <c r="A14" s="219"/>
      <c r="B14" s="179"/>
      <c r="C14" s="179"/>
      <c r="D14" s="179"/>
      <c r="E14" s="179"/>
      <c r="F14" s="179"/>
      <c r="G14" s="179"/>
      <c r="H14" s="157"/>
      <c r="I14" s="157"/>
      <c r="J14" s="220"/>
      <c r="K14" s="220"/>
      <c r="L14" s="157"/>
      <c r="M14" s="240"/>
      <c r="N14" s="240"/>
      <c r="O14" s="219"/>
      <c r="P14" s="219"/>
      <c r="Q14" s="219"/>
      <c r="R14" s="219"/>
      <c r="S14" s="219"/>
      <c r="T14" s="219"/>
      <c r="U14" s="219"/>
      <c r="Y14" s="241"/>
    </row>
    <row r="15" spans="1:25" s="123" customFormat="1" x14ac:dyDescent="0.25">
      <c r="A15" s="219"/>
      <c r="B15" s="179"/>
      <c r="C15" s="179"/>
      <c r="D15" s="179"/>
      <c r="E15" s="179"/>
      <c r="F15" s="179"/>
      <c r="G15" s="179"/>
      <c r="H15" s="157"/>
      <c r="I15" s="157"/>
      <c r="J15" s="220"/>
      <c r="K15" s="220"/>
      <c r="L15" s="157"/>
      <c r="M15" s="240"/>
      <c r="N15" s="240"/>
      <c r="O15" s="219"/>
      <c r="P15" s="219"/>
      <c r="Q15" s="219"/>
      <c r="R15" s="219"/>
      <c r="S15" s="219"/>
      <c r="T15" s="219"/>
      <c r="U15" s="219"/>
      <c r="Y15" s="241"/>
    </row>
    <row r="16" spans="1:25" s="123" customFormat="1" x14ac:dyDescent="0.25">
      <c r="A16" s="179"/>
      <c r="B16" s="179"/>
      <c r="C16" s="179"/>
      <c r="D16" s="179"/>
      <c r="E16" s="179"/>
      <c r="F16" s="179"/>
      <c r="G16" s="179"/>
      <c r="H16" s="157"/>
      <c r="I16" s="157"/>
      <c r="J16" s="158"/>
      <c r="K16" s="158"/>
      <c r="L16" s="157"/>
      <c r="M16" s="242"/>
      <c r="N16" s="242"/>
      <c r="O16" s="179"/>
      <c r="P16" s="179"/>
      <c r="Q16" s="179"/>
      <c r="R16" s="179"/>
      <c r="S16" s="179"/>
      <c r="T16" s="179"/>
      <c r="U16" s="179"/>
      <c r="Y16" s="157"/>
    </row>
    <row r="17" spans="1:25" s="123" customFormat="1" x14ac:dyDescent="0.25">
      <c r="Y17" s="220"/>
    </row>
    <row r="18" spans="1:25" s="123" customFormat="1" x14ac:dyDescent="0.25">
      <c r="A18" s="16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</row>
    <row r="19" spans="1:25" s="123" customFormat="1" x14ac:dyDescent="0.25">
      <c r="A19" s="220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220"/>
      <c r="R19" s="220"/>
      <c r="S19" s="220"/>
      <c r="T19" s="220"/>
      <c r="U19" s="220"/>
      <c r="V19" s="220"/>
      <c r="W19" s="220"/>
      <c r="X19" s="220"/>
      <c r="Y19" s="158"/>
    </row>
    <row r="20" spans="1:25" s="123" customFormat="1" x14ac:dyDescent="0.25">
      <c r="A20" s="220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220"/>
      <c r="R20" s="220"/>
      <c r="S20" s="220"/>
      <c r="T20" s="220"/>
      <c r="U20" s="220"/>
      <c r="V20" s="220"/>
      <c r="W20" s="220"/>
      <c r="X20" s="220"/>
      <c r="Y20" s="158"/>
    </row>
    <row r="21" spans="1:25" s="123" customFormat="1" x14ac:dyDescent="0.25">
      <c r="A21" s="220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220"/>
      <c r="R21" s="220"/>
      <c r="S21" s="220"/>
      <c r="T21" s="220"/>
      <c r="U21" s="220"/>
      <c r="V21" s="220"/>
      <c r="W21" s="220"/>
      <c r="X21" s="220"/>
      <c r="Y21" s="158"/>
    </row>
    <row r="22" spans="1:25" x14ac:dyDescent="0.25">
      <c r="M22" t="s">
        <v>18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14" workbookViewId="0">
      <selection activeCell="D33" sqref="D33"/>
    </sheetView>
  </sheetViews>
  <sheetFormatPr baseColWidth="10" defaultColWidth="8.85546875" defaultRowHeight="15" x14ac:dyDescent="0.25"/>
  <cols>
    <col min="4" max="4" width="13.28515625" customWidth="1"/>
    <col min="5" max="5" width="12.42578125" customWidth="1"/>
    <col min="6" max="6" width="11" customWidth="1"/>
    <col min="8" max="8" width="14.140625" customWidth="1"/>
    <col min="9" max="9" width="21.7109375" customWidth="1"/>
    <col min="10" max="10" width="20.7109375" customWidth="1"/>
    <col min="11" max="11" width="26" customWidth="1"/>
    <col min="12" max="12" width="17" customWidth="1"/>
    <col min="13" max="13" width="19.140625" customWidth="1"/>
  </cols>
  <sheetData>
    <row r="1" spans="1:13" x14ac:dyDescent="0.25">
      <c r="A1" s="57"/>
      <c r="B1" s="57"/>
      <c r="C1" s="57"/>
      <c r="D1" s="57"/>
      <c r="E1" s="58"/>
      <c r="F1" s="59"/>
      <c r="G1" s="60" t="s">
        <v>114</v>
      </c>
      <c r="H1" s="60" t="s">
        <v>114</v>
      </c>
      <c r="I1" s="164"/>
      <c r="J1" s="165"/>
      <c r="K1" s="166" t="s">
        <v>114</v>
      </c>
      <c r="L1" s="221" t="s">
        <v>114</v>
      </c>
      <c r="M1" s="221" t="s">
        <v>114</v>
      </c>
    </row>
    <row r="2" spans="1:13" ht="15.75" thickBot="1" x14ac:dyDescent="0.3">
      <c r="A2" s="57"/>
      <c r="B2" s="57"/>
      <c r="C2" s="57"/>
      <c r="D2" s="60" t="s">
        <v>114</v>
      </c>
      <c r="E2" s="60" t="s">
        <v>114</v>
      </c>
      <c r="F2" s="60" t="s">
        <v>114</v>
      </c>
      <c r="G2" s="61" t="s">
        <v>115</v>
      </c>
      <c r="H2" s="62"/>
      <c r="I2" s="167" t="s">
        <v>114</v>
      </c>
      <c r="J2" s="168" t="s">
        <v>114</v>
      </c>
      <c r="K2" s="169" t="s">
        <v>246</v>
      </c>
      <c r="L2" s="222"/>
      <c r="M2" s="223" t="s">
        <v>246</v>
      </c>
    </row>
    <row r="3" spans="1:13" ht="15.75" x14ac:dyDescent="0.25">
      <c r="A3" s="63" t="s">
        <v>116</v>
      </c>
      <c r="B3" s="64" t="s">
        <v>117</v>
      </c>
      <c r="C3" s="65"/>
      <c r="D3" s="66" t="s">
        <v>118</v>
      </c>
      <c r="E3" s="67" t="s">
        <v>119</v>
      </c>
      <c r="F3" s="68" t="s">
        <v>120</v>
      </c>
      <c r="G3" s="69" t="s">
        <v>121</v>
      </c>
      <c r="H3" s="70" t="s">
        <v>122</v>
      </c>
      <c r="I3" s="170" t="s">
        <v>247</v>
      </c>
      <c r="J3" s="171" t="s">
        <v>247</v>
      </c>
      <c r="K3" s="171" t="s">
        <v>247</v>
      </c>
      <c r="L3" s="224" t="s">
        <v>118</v>
      </c>
      <c r="M3" s="224" t="s">
        <v>118</v>
      </c>
    </row>
    <row r="4" spans="1:13" ht="16.5" thickBot="1" x14ac:dyDescent="0.3">
      <c r="A4" s="71" t="s">
        <v>123</v>
      </c>
      <c r="B4" s="72" t="s">
        <v>124</v>
      </c>
      <c r="C4" s="73" t="s">
        <v>125</v>
      </c>
      <c r="D4" s="74" t="s">
        <v>126</v>
      </c>
      <c r="E4" s="75" t="s">
        <v>127</v>
      </c>
      <c r="F4" s="76" t="s">
        <v>127</v>
      </c>
      <c r="G4" s="77" t="s">
        <v>128</v>
      </c>
      <c r="H4" s="78" t="s">
        <v>128</v>
      </c>
      <c r="I4" s="172" t="s">
        <v>248</v>
      </c>
      <c r="J4" s="173" t="s">
        <v>249</v>
      </c>
      <c r="K4" s="173" t="s">
        <v>250</v>
      </c>
      <c r="L4" s="225" t="s">
        <v>126</v>
      </c>
      <c r="M4" s="226" t="s">
        <v>126</v>
      </c>
    </row>
    <row r="5" spans="1:13" ht="15.75" x14ac:dyDescent="0.25">
      <c r="A5" s="79" t="s">
        <v>129</v>
      </c>
      <c r="B5" s="80">
        <v>63.179240226745605</v>
      </c>
      <c r="C5" s="81">
        <v>370.50081134033206</v>
      </c>
      <c r="D5" s="228">
        <v>159.5</v>
      </c>
      <c r="E5" s="82">
        <v>91.319030306323953</v>
      </c>
      <c r="F5" s="83">
        <v>624.69953618998534</v>
      </c>
      <c r="G5" s="84">
        <v>91.319030306323953</v>
      </c>
      <c r="H5" s="85">
        <v>624.69953618998534</v>
      </c>
      <c r="I5" s="174">
        <v>61.56</v>
      </c>
      <c r="J5" s="81">
        <v>0.61498501498501501</v>
      </c>
      <c r="K5" s="175">
        <v>0.61498501498501501</v>
      </c>
      <c r="L5" s="227">
        <v>159.5</v>
      </c>
      <c r="M5" s="228">
        <v>159.5</v>
      </c>
    </row>
    <row r="6" spans="1:13" ht="15.75" x14ac:dyDescent="0.25">
      <c r="A6" s="86"/>
      <c r="B6" s="80"/>
      <c r="C6" s="81"/>
      <c r="D6" s="229"/>
      <c r="E6" s="87"/>
      <c r="F6" s="88"/>
      <c r="G6" s="89"/>
      <c r="H6" s="90"/>
      <c r="I6" s="174"/>
      <c r="J6" s="81"/>
      <c r="K6" s="175"/>
      <c r="L6" s="227"/>
      <c r="M6" s="229"/>
    </row>
    <row r="7" spans="1:13" ht="15.75" x14ac:dyDescent="0.25">
      <c r="A7" s="79" t="s">
        <v>130</v>
      </c>
      <c r="B7" s="80">
        <v>52.752194404602051</v>
      </c>
      <c r="C7" s="81">
        <v>318.38249087524412</v>
      </c>
      <c r="D7" s="230">
        <v>146.4</v>
      </c>
      <c r="E7" s="87">
        <v>76.2478184648959</v>
      </c>
      <c r="F7" s="91">
        <v>536.82310076800115</v>
      </c>
      <c r="G7" s="89">
        <v>76.2478184648959</v>
      </c>
      <c r="H7" s="90">
        <v>536.82310076800115</v>
      </c>
      <c r="I7" s="176">
        <v>0.61</v>
      </c>
      <c r="J7" s="81">
        <v>6.0939060939060943E-3</v>
      </c>
      <c r="K7" s="175">
        <v>6.0939060939060943E-3</v>
      </c>
      <c r="L7" s="227">
        <v>146.4</v>
      </c>
      <c r="M7" s="230">
        <v>146.4</v>
      </c>
    </row>
    <row r="8" spans="1:13" ht="15.75" x14ac:dyDescent="0.25">
      <c r="A8" s="86"/>
      <c r="B8" s="80"/>
      <c r="C8" s="81"/>
      <c r="D8" s="229"/>
      <c r="E8" s="87"/>
      <c r="F8" s="88"/>
      <c r="G8" s="89"/>
      <c r="H8" s="90"/>
      <c r="I8" s="174"/>
      <c r="J8" s="81"/>
      <c r="K8" s="175"/>
      <c r="L8" s="227"/>
      <c r="M8" s="229"/>
    </row>
    <row r="9" spans="1:13" ht="15.75" x14ac:dyDescent="0.25">
      <c r="A9" s="92" t="s">
        <v>131</v>
      </c>
      <c r="B9" s="80">
        <v>30.584425926208496</v>
      </c>
      <c r="C9" s="81">
        <v>198.31842303466797</v>
      </c>
      <c r="D9" s="230">
        <v>71.471774193548384</v>
      </c>
      <c r="E9" s="87">
        <v>44.206611349444827</v>
      </c>
      <c r="F9" s="91">
        <v>334.38368579950259</v>
      </c>
      <c r="G9" s="89">
        <v>44.563116279682291</v>
      </c>
      <c r="H9" s="90">
        <v>337.08032842691796</v>
      </c>
      <c r="I9" s="174">
        <v>5122.1943133968625</v>
      </c>
      <c r="J9" s="81">
        <v>51.170772361607021</v>
      </c>
      <c r="K9" s="175">
        <v>51.583439880652243</v>
      </c>
      <c r="L9" s="227">
        <v>70.900000000000006</v>
      </c>
      <c r="M9" s="230">
        <v>71.471774193548384</v>
      </c>
    </row>
    <row r="10" spans="1:13" ht="15.75" x14ac:dyDescent="0.25">
      <c r="A10" s="86"/>
      <c r="B10" s="80"/>
      <c r="C10" s="81"/>
      <c r="D10" s="229"/>
      <c r="E10" s="87"/>
      <c r="F10" s="88"/>
      <c r="G10" s="89"/>
      <c r="H10" s="90"/>
      <c r="I10" s="174"/>
      <c r="J10" s="81"/>
      <c r="K10" s="175"/>
      <c r="L10" s="227"/>
      <c r="M10" s="229"/>
    </row>
    <row r="11" spans="1:13" ht="15.75" x14ac:dyDescent="0.25">
      <c r="A11" s="92" t="s">
        <v>132</v>
      </c>
      <c r="B11" s="80">
        <v>25.89031457901001</v>
      </c>
      <c r="C11" s="81">
        <v>132.96143412780762</v>
      </c>
      <c r="D11" s="230">
        <v>66.164658634538156</v>
      </c>
      <c r="E11" s="87">
        <v>37.421760901138668</v>
      </c>
      <c r="F11" s="91">
        <v>224.1855987583767</v>
      </c>
      <c r="G11" s="89">
        <v>37.572049097528783</v>
      </c>
      <c r="H11" s="90">
        <v>225.08594252849065</v>
      </c>
      <c r="I11" s="174">
        <v>3614.8201458184712</v>
      </c>
      <c r="J11" s="81">
        <v>36.112089368815901</v>
      </c>
      <c r="K11" s="175">
        <v>36.257117840176612</v>
      </c>
      <c r="L11" s="227">
        <v>65.900000000000006</v>
      </c>
      <c r="M11" s="230">
        <v>66.164658634538156</v>
      </c>
    </row>
    <row r="12" spans="1:13" ht="15.75" x14ac:dyDescent="0.25">
      <c r="A12" s="86"/>
      <c r="B12" s="80"/>
      <c r="C12" s="81"/>
      <c r="D12" s="229"/>
      <c r="E12" s="87"/>
      <c r="F12" s="88"/>
      <c r="G12" s="89"/>
      <c r="H12" s="90"/>
      <c r="I12" s="174"/>
      <c r="J12" s="81"/>
      <c r="K12" s="175"/>
      <c r="L12" s="227"/>
      <c r="M12" s="229"/>
    </row>
    <row r="13" spans="1:13" ht="15.75" x14ac:dyDescent="0.25">
      <c r="A13" s="79" t="s">
        <v>133</v>
      </c>
      <c r="B13" s="80">
        <v>47.222774028778076</v>
      </c>
      <c r="C13" s="81">
        <v>278.06556582641599</v>
      </c>
      <c r="D13" s="230">
        <v>107.3293172690763</v>
      </c>
      <c r="E13" s="87">
        <v>68.255615566220996</v>
      </c>
      <c r="F13" s="91">
        <v>468.84493821689625</v>
      </c>
      <c r="G13" s="89">
        <v>68.52973450423795</v>
      </c>
      <c r="H13" s="90">
        <v>470.72784961535768</v>
      </c>
      <c r="I13" s="174">
        <v>4152.8468949010166</v>
      </c>
      <c r="J13" s="81">
        <v>41.486981967043128</v>
      </c>
      <c r="K13" s="175">
        <v>41.653596352452944</v>
      </c>
      <c r="L13" s="227">
        <v>106.9</v>
      </c>
      <c r="M13" s="230">
        <v>107.3293172690763</v>
      </c>
    </row>
    <row r="14" spans="1:13" ht="15.75" x14ac:dyDescent="0.25">
      <c r="A14" s="86"/>
      <c r="B14" s="80"/>
      <c r="C14" s="81"/>
      <c r="D14" s="229"/>
      <c r="E14" s="87"/>
      <c r="F14" s="88"/>
      <c r="G14" s="89"/>
      <c r="H14" s="90"/>
      <c r="I14" s="174"/>
      <c r="J14" s="81"/>
      <c r="K14" s="175"/>
      <c r="L14" s="227"/>
      <c r="M14" s="229"/>
    </row>
    <row r="15" spans="1:13" ht="15.75" x14ac:dyDescent="0.25">
      <c r="A15" s="93" t="s">
        <v>134</v>
      </c>
      <c r="B15" s="80">
        <v>2.078698171923558E-2</v>
      </c>
      <c r="C15" s="94">
        <v>6.8825683911641344E-2</v>
      </c>
      <c r="D15" s="230">
        <v>0</v>
      </c>
      <c r="E15" s="87">
        <v>3.0045423255854423E-2</v>
      </c>
      <c r="F15" s="91">
        <v>0.11604663607083575</v>
      </c>
      <c r="G15" s="89">
        <v>3.0045423255854423E-2</v>
      </c>
      <c r="H15" s="90">
        <v>0.11604663607083575</v>
      </c>
      <c r="I15" s="176" t="s">
        <v>251</v>
      </c>
      <c r="J15" s="177">
        <v>0.01</v>
      </c>
      <c r="K15" s="90">
        <v>0.01</v>
      </c>
      <c r="L15" s="227">
        <v>0</v>
      </c>
      <c r="M15" s="230">
        <v>0</v>
      </c>
    </row>
    <row r="16" spans="1:13" ht="15.75" x14ac:dyDescent="0.25">
      <c r="A16" s="86"/>
      <c r="B16" s="80"/>
      <c r="C16" s="81"/>
      <c r="D16" s="229"/>
      <c r="E16" s="87"/>
      <c r="F16" s="88"/>
      <c r="G16" s="89"/>
      <c r="H16" s="90"/>
      <c r="I16" s="174"/>
      <c r="J16" s="81"/>
      <c r="K16" s="175"/>
      <c r="L16" s="227"/>
      <c r="M16" s="229"/>
    </row>
    <row r="17" spans="1:13" ht="15.75" x14ac:dyDescent="0.25">
      <c r="A17" s="79" t="s">
        <v>135</v>
      </c>
      <c r="B17" s="80">
        <v>1.3828073441982269</v>
      </c>
      <c r="C17" s="81">
        <v>10.54091414006551</v>
      </c>
      <c r="D17" s="230">
        <v>7</v>
      </c>
      <c r="E17" s="87">
        <v>1.9987044054257028</v>
      </c>
      <c r="F17" s="91">
        <v>17.772981793199548</v>
      </c>
      <c r="G17" s="89">
        <v>1.9987044054257028</v>
      </c>
      <c r="H17" s="90">
        <v>17.772981793199548</v>
      </c>
      <c r="I17" s="174">
        <v>204.72167575141145</v>
      </c>
      <c r="J17" s="81">
        <v>2.0451715859281863</v>
      </c>
      <c r="K17" s="175">
        <v>2.0451715859281863</v>
      </c>
      <c r="L17" s="227">
        <v>7</v>
      </c>
      <c r="M17" s="230">
        <v>7</v>
      </c>
    </row>
    <row r="18" spans="1:13" ht="15.75" x14ac:dyDescent="0.25">
      <c r="A18" s="86"/>
      <c r="B18" s="80"/>
      <c r="C18" s="81"/>
      <c r="D18" s="229"/>
      <c r="E18" s="87"/>
      <c r="F18" s="88"/>
      <c r="G18" s="89"/>
      <c r="H18" s="90"/>
      <c r="I18" s="174"/>
      <c r="J18" s="81"/>
      <c r="K18" s="175"/>
      <c r="L18" s="227"/>
      <c r="M18" s="229"/>
    </row>
    <row r="19" spans="1:13" ht="15.75" x14ac:dyDescent="0.25">
      <c r="A19" s="79" t="s">
        <v>136</v>
      </c>
      <c r="B19" s="80">
        <v>15.916028022766113</v>
      </c>
      <c r="C19" s="81">
        <v>94.025458099365224</v>
      </c>
      <c r="D19" s="230">
        <v>41.2</v>
      </c>
      <c r="E19" s="87">
        <v>23.004965557531321</v>
      </c>
      <c r="F19" s="91">
        <v>158.53584733656501</v>
      </c>
      <c r="G19" s="89">
        <v>23.004965557531321</v>
      </c>
      <c r="H19" s="90">
        <v>158.53584733656501</v>
      </c>
      <c r="I19" s="174">
        <v>2486.6880353668971</v>
      </c>
      <c r="J19" s="81">
        <v>24.842038315353619</v>
      </c>
      <c r="K19" s="175">
        <v>24.842038315353619</v>
      </c>
      <c r="L19" s="227">
        <v>41.2</v>
      </c>
      <c r="M19" s="230">
        <v>41.2</v>
      </c>
    </row>
    <row r="20" spans="1:13" ht="15.75" x14ac:dyDescent="0.25">
      <c r="A20" s="86"/>
      <c r="B20" s="80"/>
      <c r="C20" s="81"/>
      <c r="D20" s="229"/>
      <c r="E20" s="87"/>
      <c r="F20" s="88"/>
      <c r="G20" s="89"/>
      <c r="H20" s="90"/>
      <c r="I20" s="174"/>
      <c r="J20" s="81"/>
      <c r="K20" s="175"/>
      <c r="L20" s="227"/>
      <c r="M20" s="229"/>
    </row>
    <row r="21" spans="1:13" ht="15.75" x14ac:dyDescent="0.25">
      <c r="A21" s="92" t="s">
        <v>137</v>
      </c>
      <c r="B21" s="80">
        <v>19.124836325645447</v>
      </c>
      <c r="C21" s="81">
        <v>105.4278171081543</v>
      </c>
      <c r="D21" s="230">
        <v>69.435897435897431</v>
      </c>
      <c r="E21" s="87">
        <v>27.642964710515368</v>
      </c>
      <c r="F21" s="91">
        <v>177.76130694755409</v>
      </c>
      <c r="G21" s="89">
        <v>28.351758677451659</v>
      </c>
      <c r="H21" s="90">
        <v>182.31928917697854</v>
      </c>
      <c r="I21" s="174">
        <v>6793.9594505787481</v>
      </c>
      <c r="J21" s="81">
        <v>67.871722783004486</v>
      </c>
      <c r="K21" s="175">
        <v>69.612023367184094</v>
      </c>
      <c r="L21" s="227">
        <v>67.7</v>
      </c>
      <c r="M21" s="230">
        <v>69.435897435897431</v>
      </c>
    </row>
    <row r="22" spans="1:13" ht="15.75" x14ac:dyDescent="0.25">
      <c r="A22" s="86"/>
      <c r="B22" s="80"/>
      <c r="C22" s="81"/>
      <c r="D22" s="229"/>
      <c r="E22" s="87"/>
      <c r="F22" s="88"/>
      <c r="G22" s="89"/>
      <c r="H22" s="90"/>
      <c r="I22" s="174"/>
      <c r="J22" s="81"/>
      <c r="K22" s="175"/>
      <c r="L22" s="227"/>
      <c r="M22" s="229"/>
    </row>
    <row r="23" spans="1:13" ht="15.75" x14ac:dyDescent="0.25">
      <c r="A23" s="92" t="s">
        <v>138</v>
      </c>
      <c r="B23" s="80">
        <v>16.272132992744446</v>
      </c>
      <c r="C23" s="81">
        <v>85.659321548461918</v>
      </c>
      <c r="D23" s="230">
        <v>60.613095238095241</v>
      </c>
      <c r="E23" s="87">
        <v>23.519678308570665</v>
      </c>
      <c r="F23" s="91">
        <v>144.42974699053738</v>
      </c>
      <c r="G23" s="89">
        <v>23.799674478910791</v>
      </c>
      <c r="H23" s="90">
        <v>146.14914874042475</v>
      </c>
      <c r="I23" s="174">
        <v>6246.7887553870169</v>
      </c>
      <c r="J23" s="81">
        <v>62.405482071798374</v>
      </c>
      <c r="K23" s="175">
        <v>63.148404477415021</v>
      </c>
      <c r="L23" s="227">
        <v>59.9</v>
      </c>
      <c r="M23" s="230">
        <v>60.613095238095241</v>
      </c>
    </row>
    <row r="24" spans="1:13" ht="15.75" x14ac:dyDescent="0.25">
      <c r="A24" s="86"/>
      <c r="B24" s="80"/>
      <c r="C24" s="81"/>
      <c r="D24" s="229"/>
      <c r="E24" s="87"/>
      <c r="F24" s="88"/>
      <c r="G24" s="89"/>
      <c r="H24" s="90"/>
      <c r="I24" s="174"/>
      <c r="J24" s="81"/>
      <c r="K24" s="175"/>
      <c r="L24" s="227"/>
      <c r="M24" s="229"/>
    </row>
    <row r="25" spans="1:13" ht="15.75" x14ac:dyDescent="0.25">
      <c r="A25" s="79" t="s">
        <v>139</v>
      </c>
      <c r="B25" s="80">
        <v>30.874098539352417</v>
      </c>
      <c r="C25" s="81">
        <v>197.76069522094727</v>
      </c>
      <c r="D25" s="230">
        <v>75.5</v>
      </c>
      <c r="E25" s="87">
        <v>44.62530302797191</v>
      </c>
      <c r="F25" s="91">
        <v>333.44330376554387</v>
      </c>
      <c r="G25" s="89">
        <v>44.62530302797191</v>
      </c>
      <c r="H25" s="90">
        <v>333.44330376554387</v>
      </c>
      <c r="I25" s="174">
        <v>4434.5816520133412</v>
      </c>
      <c r="J25" s="81">
        <v>44.301515005128287</v>
      </c>
      <c r="K25" s="175">
        <v>44.301515005128287</v>
      </c>
      <c r="L25" s="227">
        <v>75.5</v>
      </c>
      <c r="M25" s="230">
        <v>75.5</v>
      </c>
    </row>
    <row r="26" spans="1:13" ht="15.75" x14ac:dyDescent="0.25">
      <c r="A26" s="86"/>
      <c r="B26" s="80"/>
      <c r="C26" s="81"/>
      <c r="D26" s="229"/>
      <c r="E26" s="87"/>
      <c r="F26" s="88"/>
      <c r="G26" s="89"/>
      <c r="H26" s="90"/>
      <c r="I26" s="174"/>
      <c r="J26" s="81"/>
      <c r="K26" s="175"/>
      <c r="L26" s="227"/>
      <c r="M26" s="229"/>
    </row>
    <row r="27" spans="1:13" ht="15.75" x14ac:dyDescent="0.25">
      <c r="A27" s="79" t="s">
        <v>140</v>
      </c>
      <c r="B27" s="80">
        <v>64.049620628356934</v>
      </c>
      <c r="C27" s="81">
        <v>359.55930590820316</v>
      </c>
      <c r="D27" s="230">
        <v>135.4</v>
      </c>
      <c r="E27" s="87">
        <v>92.577074784027687</v>
      </c>
      <c r="F27" s="91">
        <v>606.2511194538813</v>
      </c>
      <c r="G27" s="89">
        <v>92.577074784027687</v>
      </c>
      <c r="H27" s="90">
        <v>606.2511194538813</v>
      </c>
      <c r="I27" s="174">
        <v>7451.8523302661088</v>
      </c>
      <c r="J27" s="81">
        <v>74.444079223437654</v>
      </c>
      <c r="K27" s="175">
        <v>74.444079223437654</v>
      </c>
      <c r="L27" s="227">
        <v>135.4</v>
      </c>
      <c r="M27" s="230">
        <v>135.4</v>
      </c>
    </row>
    <row r="28" spans="1:13" ht="15.75" x14ac:dyDescent="0.25">
      <c r="A28" s="86"/>
      <c r="B28" s="80"/>
      <c r="C28" s="95"/>
      <c r="D28" s="229"/>
      <c r="E28" s="87"/>
      <c r="F28" s="88"/>
      <c r="G28" s="89"/>
      <c r="H28" s="90"/>
      <c r="I28" s="174"/>
      <c r="J28" s="81"/>
      <c r="K28" s="175"/>
      <c r="L28" s="227"/>
      <c r="M28" s="229"/>
    </row>
    <row r="29" spans="1:13" ht="15.75" x14ac:dyDescent="0.25">
      <c r="A29" s="79" t="s">
        <v>141</v>
      </c>
      <c r="B29" s="80">
        <v>4.8520998160044355</v>
      </c>
      <c r="C29" s="95">
        <v>29.925675791422531</v>
      </c>
      <c r="D29" s="230">
        <v>13.1</v>
      </c>
      <c r="E29" s="87">
        <v>7.0132063721691518</v>
      </c>
      <c r="F29" s="91">
        <v>50.457529956395199</v>
      </c>
      <c r="G29" s="89">
        <v>7.0132063721691518</v>
      </c>
      <c r="H29" s="90">
        <v>50.457529956395199</v>
      </c>
      <c r="I29" s="174">
        <v>607.22336489168902</v>
      </c>
      <c r="J29" s="81">
        <v>6.0661674814354551</v>
      </c>
      <c r="K29" s="175">
        <v>6.0661674814354551</v>
      </c>
      <c r="L29" s="227">
        <v>13.1</v>
      </c>
      <c r="M29" s="230">
        <v>13.1</v>
      </c>
    </row>
    <row r="30" spans="1:13" ht="15.75" x14ac:dyDescent="0.25">
      <c r="A30" s="86"/>
      <c r="B30" s="80"/>
      <c r="C30" s="95"/>
      <c r="D30" s="229"/>
      <c r="E30" s="87"/>
      <c r="F30" s="88"/>
      <c r="G30" s="89"/>
      <c r="H30" s="90"/>
      <c r="I30" s="174"/>
      <c r="J30" s="81"/>
      <c r="K30" s="175"/>
      <c r="L30" s="227"/>
      <c r="M30" s="229"/>
    </row>
    <row r="31" spans="1:13" ht="15.75" x14ac:dyDescent="0.25">
      <c r="A31" s="92" t="s">
        <v>142</v>
      </c>
      <c r="B31" s="80">
        <v>6.4681132634480791</v>
      </c>
      <c r="C31" s="95">
        <v>35.244800649007168</v>
      </c>
      <c r="D31" s="230">
        <v>13.253012048192771</v>
      </c>
      <c r="E31" s="87">
        <v>9.3489859803585738</v>
      </c>
      <c r="F31" s="91">
        <v>59.426079362397601</v>
      </c>
      <c r="G31" s="89">
        <v>9.3865321087937481</v>
      </c>
      <c r="H31" s="90">
        <v>59.664738315660237</v>
      </c>
      <c r="I31" s="174">
        <v>827.21217532592971</v>
      </c>
      <c r="J31" s="81">
        <v>8.2638578953639339</v>
      </c>
      <c r="K31" s="175">
        <v>8.2970460796826639</v>
      </c>
      <c r="L31" s="227">
        <v>13.2</v>
      </c>
      <c r="M31" s="230">
        <v>13.253012048192771</v>
      </c>
    </row>
    <row r="32" spans="1:13" ht="15.75" x14ac:dyDescent="0.25">
      <c r="A32" s="86"/>
      <c r="B32" s="80"/>
      <c r="C32" s="95"/>
      <c r="D32" s="229"/>
      <c r="E32" s="87"/>
      <c r="F32" s="88"/>
      <c r="G32" s="89"/>
      <c r="H32" s="90"/>
      <c r="I32" s="174"/>
      <c r="J32" s="81"/>
      <c r="K32" s="175"/>
      <c r="L32" s="227"/>
      <c r="M32" s="229"/>
    </row>
    <row r="33" spans="1:13" ht="15.75" x14ac:dyDescent="0.25">
      <c r="A33" s="79" t="s">
        <v>143</v>
      </c>
      <c r="B33" s="80">
        <v>11.864766279856363</v>
      </c>
      <c r="C33" s="95">
        <v>58.874624969482419</v>
      </c>
      <c r="D33" s="230">
        <v>13.1</v>
      </c>
      <c r="E33" s="87">
        <v>17.149287449471188</v>
      </c>
      <c r="F33" s="91">
        <v>99.268206130892509</v>
      </c>
      <c r="G33" s="89">
        <v>17.149287449471188</v>
      </c>
      <c r="H33" s="90">
        <v>99.268206130892509</v>
      </c>
      <c r="I33" s="174">
        <v>863.32636802021398</v>
      </c>
      <c r="J33" s="81">
        <v>8.6246390411609788</v>
      </c>
      <c r="K33" s="175">
        <v>8.6246390411609788</v>
      </c>
      <c r="L33" s="227">
        <v>13.1</v>
      </c>
      <c r="M33" s="230">
        <v>13.1</v>
      </c>
    </row>
    <row r="34" spans="1:13" ht="15.75" x14ac:dyDescent="0.25">
      <c r="A34" s="86"/>
      <c r="B34" s="80"/>
      <c r="C34" s="95"/>
      <c r="D34" s="229"/>
      <c r="E34" s="87"/>
      <c r="F34" s="88"/>
      <c r="G34" s="89"/>
      <c r="H34" s="90"/>
      <c r="I34" s="174"/>
      <c r="J34" s="81"/>
      <c r="K34" s="175"/>
      <c r="L34" s="227"/>
      <c r="M34" s="229"/>
    </row>
    <row r="35" spans="1:13" ht="15.75" x14ac:dyDescent="0.25">
      <c r="A35" s="79" t="s">
        <v>144</v>
      </c>
      <c r="B35" s="80">
        <v>9.4549190998077393</v>
      </c>
      <c r="C35" s="95">
        <v>63.107427360534665</v>
      </c>
      <c r="D35" s="230">
        <v>50.8</v>
      </c>
      <c r="E35" s="87">
        <v>13.66610362391911</v>
      </c>
      <c r="F35" s="91">
        <v>106.4051127436159</v>
      </c>
      <c r="G35" s="89">
        <v>13.66610362391911</v>
      </c>
      <c r="H35" s="90">
        <v>106.4051127436159</v>
      </c>
      <c r="I35" s="174">
        <v>2427.7964213537639</v>
      </c>
      <c r="J35" s="81">
        <v>24.253710503034604</v>
      </c>
      <c r="K35" s="175">
        <v>24.253710503034604</v>
      </c>
      <c r="L35" s="227">
        <v>50.8</v>
      </c>
      <c r="M35" s="230">
        <v>50.8</v>
      </c>
    </row>
    <row r="36" spans="1:13" ht="15.75" x14ac:dyDescent="0.25">
      <c r="A36" s="86"/>
      <c r="B36" s="80"/>
      <c r="C36" s="95"/>
      <c r="D36" s="229"/>
      <c r="E36" s="87"/>
      <c r="F36" s="88"/>
      <c r="G36" s="89"/>
      <c r="H36" s="90"/>
      <c r="I36" s="174"/>
      <c r="J36" s="81"/>
      <c r="K36" s="175"/>
      <c r="L36" s="227"/>
      <c r="M36" s="229"/>
    </row>
    <row r="37" spans="1:13" ht="15.75" x14ac:dyDescent="0.25">
      <c r="A37" s="92" t="s">
        <v>145</v>
      </c>
      <c r="B37" s="80">
        <v>4.4463006655375166</v>
      </c>
      <c r="C37" s="95">
        <v>26.020865839640297</v>
      </c>
      <c r="D37" s="230">
        <v>13.26530612244898</v>
      </c>
      <c r="E37" s="87">
        <v>6.4266658441923417</v>
      </c>
      <c r="F37" s="91">
        <v>43.873649729618322</v>
      </c>
      <c r="G37" s="89">
        <v>6.5578222899921847</v>
      </c>
      <c r="H37" s="90">
        <v>44.769030336345224</v>
      </c>
      <c r="I37" s="174">
        <v>1315.9314422185159</v>
      </c>
      <c r="J37" s="81">
        <v>13.146168253931229</v>
      </c>
      <c r="K37" s="175">
        <v>13.414457401970642</v>
      </c>
      <c r="L37" s="227">
        <v>13</v>
      </c>
      <c r="M37" s="230">
        <v>13.26530612244898</v>
      </c>
    </row>
    <row r="38" spans="1:13" ht="15.75" x14ac:dyDescent="0.25">
      <c r="A38" s="86"/>
      <c r="B38" s="80"/>
      <c r="C38" s="95"/>
      <c r="D38" s="229"/>
      <c r="E38" s="87"/>
      <c r="F38" s="88"/>
      <c r="G38" s="89"/>
      <c r="H38" s="90"/>
      <c r="I38" s="174"/>
      <c r="J38" s="81"/>
      <c r="K38" s="175"/>
      <c r="L38" s="227"/>
      <c r="M38" s="229"/>
    </row>
    <row r="39" spans="1:13" ht="15.75" x14ac:dyDescent="0.25">
      <c r="A39" s="79" t="s">
        <v>146</v>
      </c>
      <c r="B39" s="80">
        <v>3.3825711409250894</v>
      </c>
      <c r="C39" s="95">
        <v>21.486675343831379</v>
      </c>
      <c r="D39" s="230">
        <v>9.1</v>
      </c>
      <c r="E39" s="87">
        <v>4.8891552893456858</v>
      </c>
      <c r="F39" s="91">
        <v>36.228574164245245</v>
      </c>
      <c r="G39" s="89">
        <v>4.8891552893456858</v>
      </c>
      <c r="H39" s="90">
        <v>36.228574164245245</v>
      </c>
      <c r="I39" s="174">
        <v>569.05921717853653</v>
      </c>
      <c r="J39" s="81">
        <v>5.6849072645208452</v>
      </c>
      <c r="K39" s="175">
        <v>5.6849072645208452</v>
      </c>
      <c r="L39" s="227">
        <v>9.1</v>
      </c>
      <c r="M39" s="230">
        <v>9.1</v>
      </c>
    </row>
    <row r="40" spans="1:13" ht="16.5" thickBot="1" x14ac:dyDescent="0.3">
      <c r="A40" s="96"/>
      <c r="B40" s="97"/>
      <c r="C40" s="98"/>
      <c r="D40" s="173"/>
      <c r="E40" s="99"/>
      <c r="F40" s="100"/>
      <c r="G40" s="101"/>
      <c r="H40" s="102"/>
      <c r="I40" s="172"/>
      <c r="J40" s="178"/>
      <c r="K40" s="173"/>
      <c r="L40" s="231"/>
      <c r="M40" s="173"/>
    </row>
    <row r="42" spans="1:13" x14ac:dyDescent="0.25">
      <c r="D42" s="232" t="s">
        <v>18</v>
      </c>
      <c r="E42" s="232"/>
    </row>
    <row r="44" spans="1:13" x14ac:dyDescent="0.25">
      <c r="K44" s="10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topLeftCell="G1" workbookViewId="0">
      <selection activeCell="K7" sqref="K7"/>
    </sheetView>
  </sheetViews>
  <sheetFormatPr baseColWidth="10" defaultColWidth="9.140625" defaultRowHeight="15" x14ac:dyDescent="0.25"/>
  <cols>
    <col min="1" max="1" width="19.7109375" customWidth="1"/>
    <col min="3" max="3" width="13.28515625" customWidth="1"/>
    <col min="4" max="4" width="11.5703125" customWidth="1"/>
    <col min="5" max="27" width="10.5703125" customWidth="1"/>
  </cols>
  <sheetData>
    <row r="1" spans="1:27" ht="15.75" x14ac:dyDescent="0.25">
      <c r="A1" s="124" t="s">
        <v>187</v>
      </c>
      <c r="B1" s="124"/>
      <c r="C1" s="124"/>
      <c r="D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4"/>
      <c r="AA1" s="124"/>
    </row>
    <row r="2" spans="1:27" ht="15.75" x14ac:dyDescent="0.25">
      <c r="A2" s="125"/>
      <c r="B2" s="125"/>
      <c r="C2" s="125"/>
      <c r="D2" s="125"/>
      <c r="E2" s="127">
        <v>95.94</v>
      </c>
      <c r="F2" s="127">
        <v>107.87</v>
      </c>
      <c r="G2" s="127">
        <v>107.87</v>
      </c>
      <c r="H2" s="127">
        <v>112.41</v>
      </c>
      <c r="I2" s="127">
        <v>137.33000000000001</v>
      </c>
      <c r="J2" s="127">
        <v>207.2</v>
      </c>
      <c r="K2" s="127">
        <v>238.03</v>
      </c>
      <c r="L2" s="127">
        <v>26.981999999999999</v>
      </c>
      <c r="M2" s="127">
        <v>30.974</v>
      </c>
      <c r="N2" s="127">
        <v>47.88</v>
      </c>
      <c r="O2" s="127">
        <v>47.88</v>
      </c>
      <c r="P2" s="127">
        <v>50.942</v>
      </c>
      <c r="Q2" s="127">
        <v>51.996000000000002</v>
      </c>
      <c r="R2" s="127">
        <v>54.938000000000002</v>
      </c>
      <c r="S2" s="127">
        <v>55.847000000000001</v>
      </c>
      <c r="T2" s="127">
        <v>58.933</v>
      </c>
      <c r="U2" s="127">
        <v>58.69</v>
      </c>
      <c r="V2" s="127">
        <v>63.545999999999999</v>
      </c>
      <c r="W2" s="127">
        <v>65.39</v>
      </c>
      <c r="X2" s="127">
        <v>65.39</v>
      </c>
      <c r="Y2" s="127">
        <v>65.39</v>
      </c>
      <c r="Z2" s="127">
        <v>69.722999999999999</v>
      </c>
      <c r="AA2" s="127">
        <v>69.722999999999999</v>
      </c>
    </row>
    <row r="3" spans="1:27" ht="15.75" x14ac:dyDescent="0.25">
      <c r="A3" s="125" t="s">
        <v>169</v>
      </c>
      <c r="B3" s="125" t="s">
        <v>170</v>
      </c>
      <c r="C3" s="125" t="s">
        <v>174</v>
      </c>
      <c r="D3" s="125"/>
      <c r="E3" s="125" t="s">
        <v>184</v>
      </c>
      <c r="F3" s="125" t="s">
        <v>185</v>
      </c>
      <c r="G3" s="125" t="s">
        <v>186</v>
      </c>
      <c r="H3" s="125" t="s">
        <v>188</v>
      </c>
      <c r="I3" s="125" t="s">
        <v>189</v>
      </c>
      <c r="J3" s="125" t="s">
        <v>190</v>
      </c>
      <c r="K3" s="125" t="s">
        <v>191</v>
      </c>
      <c r="L3" s="125" t="s">
        <v>192</v>
      </c>
      <c r="M3" s="125" t="s">
        <v>193</v>
      </c>
      <c r="N3" s="125" t="s">
        <v>194</v>
      </c>
      <c r="O3" s="125" t="s">
        <v>195</v>
      </c>
      <c r="P3" s="125" t="s">
        <v>196</v>
      </c>
      <c r="Q3" s="125" t="s">
        <v>197</v>
      </c>
      <c r="R3" s="125" t="s">
        <v>198</v>
      </c>
      <c r="S3" s="125" t="s">
        <v>199</v>
      </c>
      <c r="T3" s="125" t="s">
        <v>200</v>
      </c>
      <c r="U3" s="125" t="s">
        <v>201</v>
      </c>
      <c r="V3" s="125" t="s">
        <v>202</v>
      </c>
      <c r="W3" s="125" t="s">
        <v>203</v>
      </c>
      <c r="X3" s="125" t="s">
        <v>204</v>
      </c>
      <c r="Y3" s="125" t="s">
        <v>205</v>
      </c>
      <c r="Z3" s="125" t="s">
        <v>206</v>
      </c>
      <c r="AA3" s="125" t="s">
        <v>207</v>
      </c>
    </row>
    <row r="4" spans="1:27" ht="15.75" x14ac:dyDescent="0.25">
      <c r="A4" s="125">
        <v>5</v>
      </c>
      <c r="B4" s="126" t="s">
        <v>171</v>
      </c>
      <c r="C4" s="126" t="s">
        <v>175</v>
      </c>
      <c r="D4" s="125"/>
      <c r="E4" s="134">
        <v>0.51485303314571607</v>
      </c>
      <c r="F4" s="134">
        <v>1.3516269583758228E-2</v>
      </c>
      <c r="G4" s="134">
        <v>2.3176045239640306E-3</v>
      </c>
      <c r="H4" s="134">
        <v>1.3937816920202833E-2</v>
      </c>
      <c r="I4" s="134">
        <v>30.3383091822617</v>
      </c>
      <c r="J4" s="134">
        <v>0.16461872586872589</v>
      </c>
      <c r="K4" s="134">
        <v>0.29790887703230684</v>
      </c>
      <c r="L4" s="134">
        <v>144.68783818842192</v>
      </c>
      <c r="M4" s="134">
        <v>1109.0975253438369</v>
      </c>
      <c r="N4" s="134">
        <v>29.927386173767751</v>
      </c>
      <c r="O4" s="134">
        <v>30.11778926482874</v>
      </c>
      <c r="P4" s="134">
        <v>0.94573240155470928</v>
      </c>
      <c r="Q4" s="134">
        <v>1.121605508116009</v>
      </c>
      <c r="R4" s="134">
        <v>1.4116822600021843</v>
      </c>
      <c r="S4" s="134">
        <v>155.65956541980771</v>
      </c>
      <c r="T4" s="134">
        <v>0.24277569443266084</v>
      </c>
      <c r="U4" s="134">
        <v>0.49328676094735047</v>
      </c>
      <c r="V4" s="134">
        <v>0.62490164605167908</v>
      </c>
      <c r="W4" s="134" t="e">
        <v>#VALUE!</v>
      </c>
      <c r="X4" s="134" t="e">
        <v>#VALUE!</v>
      </c>
      <c r="Y4" s="134" t="e">
        <v>#VALUE!</v>
      </c>
      <c r="Z4" s="134">
        <v>1.7619723764037691E-2</v>
      </c>
      <c r="AA4" s="134">
        <v>1.8863932991982562E-2</v>
      </c>
    </row>
    <row r="5" spans="1:27" ht="15.75" x14ac:dyDescent="0.25">
      <c r="A5" s="125">
        <v>6</v>
      </c>
      <c r="B5" s="126" t="s">
        <v>171</v>
      </c>
      <c r="C5" s="126" t="s">
        <v>176</v>
      </c>
      <c r="D5" s="125"/>
      <c r="E5" s="134">
        <v>0.852710027100271</v>
      </c>
      <c r="F5" s="134">
        <v>2.530824140168722E-2</v>
      </c>
      <c r="G5" s="134">
        <v>3.4022434411791974E-3</v>
      </c>
      <c r="H5" s="134">
        <v>3.6471399341695583E-2</v>
      </c>
      <c r="I5" s="134">
        <v>59.287235127066189</v>
      </c>
      <c r="J5" s="134">
        <v>0.1205888030888031</v>
      </c>
      <c r="K5" s="134">
        <v>0.45198609418980801</v>
      </c>
      <c r="L5" s="134">
        <v>380.56442257801501</v>
      </c>
      <c r="M5" s="134">
        <v>2153.9012962484667</v>
      </c>
      <c r="N5" s="134">
        <v>33.098000208855467</v>
      </c>
      <c r="O5" s="134">
        <v>32.892998120300753</v>
      </c>
      <c r="P5" s="134">
        <v>2.2990165286011544</v>
      </c>
      <c r="Q5" s="134">
        <v>3.050215401184706</v>
      </c>
      <c r="R5" s="134">
        <v>3.3381084131202448</v>
      </c>
      <c r="S5" s="134">
        <v>378.21988199903302</v>
      </c>
      <c r="T5" s="134">
        <v>0.80346325488266346</v>
      </c>
      <c r="U5" s="134">
        <v>1.1837110240245359</v>
      </c>
      <c r="V5" s="134">
        <v>1.3491486482233344</v>
      </c>
      <c r="W5" s="134" t="e">
        <v>#VALUE!</v>
      </c>
      <c r="X5" s="134" t="e">
        <v>#VALUE!</v>
      </c>
      <c r="Y5" s="134" t="e">
        <v>#VALUE!</v>
      </c>
      <c r="Z5" s="134">
        <v>4.3091949571877286E-2</v>
      </c>
      <c r="AA5" s="134">
        <v>4.3045336546046503E-2</v>
      </c>
    </row>
    <row r="6" spans="1:27" ht="15.75" x14ac:dyDescent="0.25">
      <c r="A6" s="125">
        <v>7</v>
      </c>
      <c r="B6" s="126" t="s">
        <v>171</v>
      </c>
      <c r="C6" s="126" t="s">
        <v>177</v>
      </c>
      <c r="D6" s="125"/>
      <c r="E6" s="134">
        <v>0.88218678340629553</v>
      </c>
      <c r="F6" s="134">
        <v>1.9263928803189022E-2</v>
      </c>
      <c r="G6" s="134">
        <v>6.665430610920552E-3</v>
      </c>
      <c r="H6" s="134">
        <v>2.3340894938172759E-2</v>
      </c>
      <c r="I6" s="134">
        <v>39.999351926017617</v>
      </c>
      <c r="J6" s="134">
        <v>9.3494208494208503E-2</v>
      </c>
      <c r="K6" s="134">
        <v>0.49790887703230685</v>
      </c>
      <c r="L6" s="134">
        <v>313.35020569268409</v>
      </c>
      <c r="M6" s="134">
        <v>1918.315740621166</v>
      </c>
      <c r="N6" s="134">
        <v>38.603388680033412</v>
      </c>
      <c r="O6" s="134">
        <v>38.873115079365085</v>
      </c>
      <c r="P6" s="134">
        <v>2.4993423893840054</v>
      </c>
      <c r="Q6" s="134">
        <v>5.6364720363104857</v>
      </c>
      <c r="R6" s="134">
        <v>2.8552186100695329</v>
      </c>
      <c r="S6" s="134">
        <v>326.0188864218311</v>
      </c>
      <c r="T6" s="134">
        <v>0.65495562757707904</v>
      </c>
      <c r="U6" s="134">
        <v>2.2071221673198163</v>
      </c>
      <c r="V6" s="134">
        <v>1.386837881219904</v>
      </c>
      <c r="W6" s="134" t="e">
        <v>#VALUE!</v>
      </c>
      <c r="X6" s="134" t="e">
        <v>#VALUE!</v>
      </c>
      <c r="Y6" s="134" t="e">
        <v>#VALUE!</v>
      </c>
      <c r="Z6" s="134">
        <v>3.465857751387634E-2</v>
      </c>
      <c r="AA6" s="134">
        <v>3.654819786870904E-2</v>
      </c>
    </row>
    <row r="7" spans="1:27" ht="15.75" x14ac:dyDescent="0.25">
      <c r="A7" s="125">
        <v>8</v>
      </c>
      <c r="B7" s="126" t="s">
        <v>171</v>
      </c>
      <c r="C7" s="126" t="s">
        <v>178</v>
      </c>
      <c r="D7" s="125"/>
      <c r="E7" s="134">
        <v>0.58753387533875345</v>
      </c>
      <c r="F7" s="134">
        <v>2.3064800222490033E-2</v>
      </c>
      <c r="G7" s="134">
        <v>8.3062946138870858E-3</v>
      </c>
      <c r="H7" s="134">
        <v>1.7932123476559026E-2</v>
      </c>
      <c r="I7" s="134">
        <v>43.227656011068234</v>
      </c>
      <c r="J7" s="134">
        <v>0.14278957528957531</v>
      </c>
      <c r="K7" s="134">
        <v>0.4546664286014368</v>
      </c>
      <c r="L7" s="134">
        <v>321.03877585056711</v>
      </c>
      <c r="M7" s="134">
        <v>2332.1064037579904</v>
      </c>
      <c r="N7" s="134">
        <v>41.936826441102752</v>
      </c>
      <c r="O7" s="134">
        <v>42.694648078529653</v>
      </c>
      <c r="P7" s="134">
        <v>2.0556220800125633</v>
      </c>
      <c r="Q7" s="134">
        <v>3.1627817524424962</v>
      </c>
      <c r="R7" s="134">
        <v>3.0309985802177</v>
      </c>
      <c r="S7" s="134">
        <v>355.87219993911935</v>
      </c>
      <c r="T7" s="134">
        <v>0.89118999541852617</v>
      </c>
      <c r="U7" s="134">
        <v>1.3785653433293574</v>
      </c>
      <c r="V7" s="134">
        <v>1.769411135240613</v>
      </c>
      <c r="W7" s="134" t="e">
        <v>#VALUE!</v>
      </c>
      <c r="X7" s="134" t="e">
        <v>#VALUE!</v>
      </c>
      <c r="Y7" s="134" t="e">
        <v>#VALUE!</v>
      </c>
      <c r="Z7" s="134">
        <v>3.9678441834115001E-2</v>
      </c>
      <c r="AA7" s="134">
        <v>3.9717883625202587E-2</v>
      </c>
    </row>
    <row r="8" spans="1:27" ht="15.75" x14ac:dyDescent="0.25">
      <c r="A8" s="125">
        <v>9</v>
      </c>
      <c r="B8" s="126" t="s">
        <v>171</v>
      </c>
      <c r="C8" s="126" t="s">
        <v>179</v>
      </c>
      <c r="D8" s="125"/>
      <c r="E8" s="134">
        <v>0.80945382530748389</v>
      </c>
      <c r="F8" s="134">
        <v>2.16556966719199E-2</v>
      </c>
      <c r="G8" s="134">
        <v>4.1716881431352552E-3</v>
      </c>
      <c r="H8" s="134">
        <v>4.4193132283604657E-2</v>
      </c>
      <c r="I8" s="134">
        <v>53.406648219616976</v>
      </c>
      <c r="J8" s="134">
        <v>3.3822393822393826E-2</v>
      </c>
      <c r="K8" s="134">
        <v>0.49342624879216912</v>
      </c>
      <c r="L8" s="134">
        <v>236.61549366244165</v>
      </c>
      <c r="M8" s="134">
        <v>2099.6156050235686</v>
      </c>
      <c r="N8" s="134">
        <v>55.700882414369254</v>
      </c>
      <c r="O8" s="134">
        <v>55.04450187969924</v>
      </c>
      <c r="P8" s="134">
        <v>1.7139590122099646</v>
      </c>
      <c r="Q8" s="134">
        <v>1.9637279790753135</v>
      </c>
      <c r="R8" s="134">
        <v>2.0746841894499251</v>
      </c>
      <c r="S8" s="134">
        <v>215.28536447794869</v>
      </c>
      <c r="T8" s="134">
        <v>0.35497089915666935</v>
      </c>
      <c r="U8" s="134">
        <v>0.67319815982279785</v>
      </c>
      <c r="V8" s="134">
        <v>1.2374657728259844</v>
      </c>
      <c r="W8" s="134" t="e">
        <v>#VALUE!</v>
      </c>
      <c r="X8" s="134" t="e">
        <v>#VALUE!</v>
      </c>
      <c r="Y8" s="134" t="e">
        <v>#VALUE!</v>
      </c>
      <c r="Z8" s="134">
        <v>2.740128795375988E-2</v>
      </c>
      <c r="AA8" s="134">
        <v>2.7713236665089E-2</v>
      </c>
    </row>
    <row r="9" spans="1:27" ht="15.75" x14ac:dyDescent="0.25">
      <c r="A9" s="125">
        <v>10</v>
      </c>
      <c r="B9" s="126" t="s">
        <v>172</v>
      </c>
      <c r="C9" s="126" t="s">
        <v>175</v>
      </c>
      <c r="D9" s="125"/>
      <c r="E9" s="134">
        <v>6.5196998123827399E-2</v>
      </c>
      <c r="F9" s="134" t="e">
        <v>#VALUE!</v>
      </c>
      <c r="G9" s="134" t="e">
        <v>#VALUE!</v>
      </c>
      <c r="H9" s="134">
        <v>9.2496219197580297E-3</v>
      </c>
      <c r="I9" s="134">
        <v>1.7658559673778489</v>
      </c>
      <c r="J9" s="134" t="e">
        <v>#VALUE!</v>
      </c>
      <c r="K9" s="134">
        <v>3.5572196781918246E-2</v>
      </c>
      <c r="L9" s="134">
        <v>3.2987269290638213</v>
      </c>
      <c r="M9" s="134">
        <v>72.24719926389875</v>
      </c>
      <c r="N9" s="134">
        <v>0.74447055137844598</v>
      </c>
      <c r="O9" s="134">
        <v>0.70732560568086889</v>
      </c>
      <c r="P9" s="134">
        <v>3.691453025008834E-2</v>
      </c>
      <c r="Q9" s="134">
        <v>0.70555427340564647</v>
      </c>
      <c r="R9" s="134">
        <v>3.2454767192107464E-2</v>
      </c>
      <c r="S9" s="134">
        <v>5.1029016777982701</v>
      </c>
      <c r="T9" s="134">
        <v>4.6238949315324197E-3</v>
      </c>
      <c r="U9" s="134">
        <v>0.11622082126426989</v>
      </c>
      <c r="V9" s="134">
        <v>3.8790797217763517E-2</v>
      </c>
      <c r="W9" s="134" t="e">
        <v>#VALUE!</v>
      </c>
      <c r="X9" s="134" t="e">
        <v>#VALUE!</v>
      </c>
      <c r="Y9" s="134" t="e">
        <v>#VALUE!</v>
      </c>
      <c r="Z9" s="134" t="e">
        <v>#VALUE!</v>
      </c>
      <c r="AA9" s="134" t="e">
        <v>#VALUE!</v>
      </c>
    </row>
    <row r="10" spans="1:27" ht="15.75" x14ac:dyDescent="0.25">
      <c r="A10" s="125">
        <v>11</v>
      </c>
      <c r="B10" s="126" t="s">
        <v>172</v>
      </c>
      <c r="C10" s="126" t="s">
        <v>176</v>
      </c>
      <c r="D10" s="125"/>
      <c r="E10" s="134">
        <v>0.67826766729205767</v>
      </c>
      <c r="F10" s="134">
        <v>6.4800222490034301E-3</v>
      </c>
      <c r="G10" s="134" t="e">
        <v>#VALUE!</v>
      </c>
      <c r="H10" s="134">
        <v>2.523574415087626E-2</v>
      </c>
      <c r="I10" s="134">
        <v>21.32156848467196</v>
      </c>
      <c r="J10" s="134">
        <v>6.7615830115830122E-3</v>
      </c>
      <c r="K10" s="134">
        <v>0.30684052430365921</v>
      </c>
      <c r="L10" s="134">
        <v>62.167454228745093</v>
      </c>
      <c r="M10" s="134">
        <v>735.7141392781042</v>
      </c>
      <c r="N10" s="134">
        <v>14.592214912280701</v>
      </c>
      <c r="O10" s="134">
        <v>14.707722431077693</v>
      </c>
      <c r="P10" s="134">
        <v>0.8826803030897884</v>
      </c>
      <c r="Q10" s="134">
        <v>1.7576352027079005</v>
      </c>
      <c r="R10" s="134">
        <v>0.66376642760930515</v>
      </c>
      <c r="S10" s="134">
        <v>64.594655934965175</v>
      </c>
      <c r="T10" s="134">
        <v>3.8730422683386216E-2</v>
      </c>
      <c r="U10" s="134">
        <v>0.54719713750212973</v>
      </c>
      <c r="V10" s="134">
        <v>0.54648601013439091</v>
      </c>
      <c r="W10" s="134" t="e">
        <v>#VALUE!</v>
      </c>
      <c r="X10" s="134" t="e">
        <v>#VALUE!</v>
      </c>
      <c r="Y10" s="134" t="e">
        <v>#VALUE!</v>
      </c>
      <c r="Z10" s="134">
        <v>8.2254062504482032E-3</v>
      </c>
      <c r="AA10" s="134">
        <v>8.4513001448589427E-3</v>
      </c>
    </row>
    <row r="11" spans="1:27" ht="15.75" x14ac:dyDescent="0.25">
      <c r="A11" s="125">
        <v>12</v>
      </c>
      <c r="B11" s="126" t="s">
        <v>172</v>
      </c>
      <c r="C11" s="126" t="s">
        <v>177</v>
      </c>
      <c r="D11" s="125"/>
      <c r="E11" s="134">
        <v>0.86591619762351479</v>
      </c>
      <c r="F11" s="134">
        <v>1.1013256697877071E-2</v>
      </c>
      <c r="G11" s="134">
        <v>4.3663669231482349E-3</v>
      </c>
      <c r="H11" s="134">
        <v>1.9488924472911662E-2</v>
      </c>
      <c r="I11" s="134">
        <v>35.837500910216264</v>
      </c>
      <c r="J11" s="134">
        <v>1.5579150579150578E-2</v>
      </c>
      <c r="K11" s="134">
        <v>0.46459794983825575</v>
      </c>
      <c r="L11" s="134">
        <v>125.6058946705211</v>
      </c>
      <c r="M11" s="134">
        <v>1398.5961370827142</v>
      </c>
      <c r="N11" s="134">
        <v>26.780101294903925</v>
      </c>
      <c r="O11" s="134">
        <v>26.923762531328322</v>
      </c>
      <c r="P11" s="134">
        <v>2.0405461112637902</v>
      </c>
      <c r="Q11" s="134">
        <v>2.5203284868066778</v>
      </c>
      <c r="R11" s="134">
        <v>1.3556190614874948</v>
      </c>
      <c r="S11" s="134">
        <v>142.18707808834853</v>
      </c>
      <c r="T11" s="134">
        <v>9.0348361698878402E-2</v>
      </c>
      <c r="U11" s="134">
        <v>0.86239563809848363</v>
      </c>
      <c r="V11" s="134">
        <v>1.297737072357033</v>
      </c>
      <c r="W11" s="134" t="e">
        <v>#VALUE!</v>
      </c>
      <c r="X11" s="134" t="e">
        <v>#VALUE!</v>
      </c>
      <c r="Y11" s="134" t="e">
        <v>#VALUE!</v>
      </c>
      <c r="Z11" s="134">
        <v>1.7461956599687332E-2</v>
      </c>
      <c r="AA11" s="134">
        <v>1.6970727019778267E-2</v>
      </c>
    </row>
    <row r="12" spans="1:27" ht="15.75" x14ac:dyDescent="0.25">
      <c r="A12" s="125">
        <v>13</v>
      </c>
      <c r="B12" s="126" t="s">
        <v>172</v>
      </c>
      <c r="C12" s="126" t="s">
        <v>178</v>
      </c>
      <c r="D12" s="125"/>
      <c r="E12" s="134">
        <v>1.024963518865958</v>
      </c>
      <c r="F12" s="134">
        <v>1.1291369240752757E-2</v>
      </c>
      <c r="G12" s="134">
        <v>4.6259386298322051E-3</v>
      </c>
      <c r="H12" s="134">
        <v>1.6659994662396586E-2</v>
      </c>
      <c r="I12" s="134">
        <v>33.741884511759991</v>
      </c>
      <c r="J12" s="134">
        <v>1.3750000000000002E-2</v>
      </c>
      <c r="K12" s="134">
        <v>0.48061693904129732</v>
      </c>
      <c r="L12" s="134">
        <v>123.9018327032837</v>
      </c>
      <c r="M12" s="134">
        <v>1158.001929037257</v>
      </c>
      <c r="N12" s="134">
        <v>29.404975981620719</v>
      </c>
      <c r="O12" s="134">
        <v>29.501958020050129</v>
      </c>
      <c r="P12" s="134">
        <v>2.011630874327667</v>
      </c>
      <c r="Q12" s="134">
        <v>1.3465074236479726</v>
      </c>
      <c r="R12" s="134">
        <v>1.238541628745131</v>
      </c>
      <c r="S12" s="134">
        <v>131.68875230540584</v>
      </c>
      <c r="T12" s="134">
        <v>6.9952318734834484E-2</v>
      </c>
      <c r="U12" s="134">
        <v>0.34275004259669456</v>
      </c>
      <c r="V12" s="134">
        <v>1.1530702168507854</v>
      </c>
      <c r="W12" s="134" t="e">
        <v>#VALUE!</v>
      </c>
      <c r="X12" s="134" t="e">
        <v>#VALUE!</v>
      </c>
      <c r="Y12" s="134" t="e">
        <v>#VALUE!</v>
      </c>
      <c r="Z12" s="134">
        <v>1.7117737332013827E-2</v>
      </c>
      <c r="AA12" s="134">
        <v>1.8103782109203565E-2</v>
      </c>
    </row>
    <row r="13" spans="1:27" ht="15.75" x14ac:dyDescent="0.25">
      <c r="A13" s="125">
        <v>14</v>
      </c>
      <c r="B13" s="126" t="s">
        <v>172</v>
      </c>
      <c r="C13" s="126" t="s">
        <v>179</v>
      </c>
      <c r="D13" s="125"/>
      <c r="E13" s="134">
        <v>0.69709193245778622</v>
      </c>
      <c r="F13" s="134">
        <v>1.0058403634003895E-2</v>
      </c>
      <c r="G13" s="134">
        <v>2.9850746268656717E-3</v>
      </c>
      <c r="H13" s="134">
        <v>1.8741659994662395E-2</v>
      </c>
      <c r="I13" s="134">
        <v>29.456360591276486</v>
      </c>
      <c r="J13" s="134">
        <v>1.2997104247104247E-2</v>
      </c>
      <c r="K13" s="134">
        <v>0.41004600260471369</v>
      </c>
      <c r="L13" s="134">
        <v>97.746136313097622</v>
      </c>
      <c r="M13" s="134">
        <v>1097.0821576160652</v>
      </c>
      <c r="N13" s="134">
        <v>22.577595029239763</v>
      </c>
      <c r="O13" s="134">
        <v>22.556135129490393</v>
      </c>
      <c r="P13" s="134">
        <v>1.6528895606768481</v>
      </c>
      <c r="Q13" s="134">
        <v>2.4543234094930382</v>
      </c>
      <c r="R13" s="134">
        <v>1.1119261713203976</v>
      </c>
      <c r="S13" s="134">
        <v>111.21898669579389</v>
      </c>
      <c r="T13" s="134">
        <v>7.8691055944886568E-2</v>
      </c>
      <c r="U13" s="134">
        <v>0.88756176520702001</v>
      </c>
      <c r="V13" s="134">
        <v>0.9974034557643281</v>
      </c>
      <c r="W13" s="134" t="e">
        <v>#VALUE!</v>
      </c>
      <c r="X13" s="134" t="e">
        <v>#VALUE!</v>
      </c>
      <c r="Y13" s="134" t="e">
        <v>#VALUE!</v>
      </c>
      <c r="Z13" s="134">
        <v>1.2499462157394258E-2</v>
      </c>
      <c r="AA13" s="134">
        <v>1.2997862972046526E-2</v>
      </c>
    </row>
    <row r="14" spans="1:27" ht="15.75" x14ac:dyDescent="0.25">
      <c r="A14" s="125">
        <v>15</v>
      </c>
      <c r="B14" s="126" t="s">
        <v>172</v>
      </c>
      <c r="C14" s="126" t="s">
        <v>180</v>
      </c>
      <c r="D14" s="125"/>
      <c r="E14" s="134">
        <v>0.53569939545549305</v>
      </c>
      <c r="F14" s="134">
        <v>9.1869843329934163E-3</v>
      </c>
      <c r="G14" s="134">
        <v>3.4856772040419027E-3</v>
      </c>
      <c r="H14" s="134">
        <v>1.9061916199626369E-2</v>
      </c>
      <c r="I14" s="134">
        <v>29.404165149639553</v>
      </c>
      <c r="J14" s="134">
        <v>1.430984555984556E-2</v>
      </c>
      <c r="K14" s="134">
        <v>0.4365006511784229</v>
      </c>
      <c r="L14" s="134">
        <v>119.56086465050777</v>
      </c>
      <c r="M14" s="134">
        <v>1352.3338848711821</v>
      </c>
      <c r="N14" s="134">
        <v>11.022937552213866</v>
      </c>
      <c r="O14" s="134">
        <v>11.179422514619883</v>
      </c>
      <c r="P14" s="134">
        <v>2.1768776255349223</v>
      </c>
      <c r="Q14" s="134">
        <v>0.8238518347565198</v>
      </c>
      <c r="R14" s="134">
        <v>0.93134078415668575</v>
      </c>
      <c r="S14" s="134">
        <v>106.42676867154906</v>
      </c>
      <c r="T14" s="134">
        <v>8.5682045712928243E-2</v>
      </c>
      <c r="U14" s="134">
        <v>0.40911569262225256</v>
      </c>
      <c r="V14" s="134">
        <v>0.96248386995247537</v>
      </c>
      <c r="W14" s="134" t="e">
        <v>#VALUE!</v>
      </c>
      <c r="X14" s="134" t="e">
        <v>#VALUE!</v>
      </c>
      <c r="Y14" s="134" t="e">
        <v>#VALUE!</v>
      </c>
      <c r="Z14" s="134">
        <v>1.4779914805731251E-2</v>
      </c>
      <c r="AA14" s="134">
        <v>1.4475137329145332E-2</v>
      </c>
    </row>
    <row r="15" spans="1:27" ht="15.75" x14ac:dyDescent="0.25">
      <c r="A15" s="125">
        <v>16</v>
      </c>
      <c r="B15" s="126" t="s">
        <v>173</v>
      </c>
      <c r="C15" s="126" t="s">
        <v>175</v>
      </c>
      <c r="D15" s="125"/>
      <c r="E15" s="134">
        <v>9.0754638315613936E-2</v>
      </c>
      <c r="F15" s="134" t="e">
        <v>#VALUE!</v>
      </c>
      <c r="G15" s="134" t="e">
        <v>#VALUE!</v>
      </c>
      <c r="H15" s="134">
        <v>7.2925006672004272E-3</v>
      </c>
      <c r="I15" s="134">
        <v>3.3775577077113521</v>
      </c>
      <c r="J15" s="134" t="e">
        <v>#VALUE!</v>
      </c>
      <c r="K15" s="134">
        <v>0.11795256900390706</v>
      </c>
      <c r="L15" s="134">
        <v>7.4354477058779924</v>
      </c>
      <c r="M15" s="134">
        <v>267.12322431716927</v>
      </c>
      <c r="N15" s="134">
        <v>1.5112625313283208</v>
      </c>
      <c r="O15" s="134">
        <v>1.535270467836257</v>
      </c>
      <c r="P15" s="134">
        <v>0.19743041105571046</v>
      </c>
      <c r="Q15" s="134">
        <v>0.86714362643280252</v>
      </c>
      <c r="R15" s="134">
        <v>0.14146856456368997</v>
      </c>
      <c r="S15" s="134">
        <v>20.699764535248086</v>
      </c>
      <c r="T15" s="134">
        <v>9.9519793663991312E-3</v>
      </c>
      <c r="U15" s="134">
        <v>0.28083148747657183</v>
      </c>
      <c r="V15" s="134">
        <v>0.11758411229660402</v>
      </c>
      <c r="W15" s="134" t="e">
        <v>#VALUE!</v>
      </c>
      <c r="X15" s="134" t="e">
        <v>#VALUE!</v>
      </c>
      <c r="Y15" s="134" t="e">
        <v>#VALUE!</v>
      </c>
      <c r="Z15" s="134">
        <v>4.8047272779427153E-4</v>
      </c>
      <c r="AA15" s="134">
        <v>6.7768168323221892E-4</v>
      </c>
    </row>
    <row r="16" spans="1:27" ht="15.75" x14ac:dyDescent="0.25">
      <c r="A16" s="125">
        <v>17</v>
      </c>
      <c r="B16" s="126" t="s">
        <v>173</v>
      </c>
      <c r="C16" s="126" t="s">
        <v>176</v>
      </c>
      <c r="D16" s="125"/>
      <c r="E16" s="134">
        <v>0.27458828434438187</v>
      </c>
      <c r="F16" s="134">
        <v>1.8540836191712244E-3</v>
      </c>
      <c r="G16" s="134" t="e">
        <v>#VALUE!</v>
      </c>
      <c r="H16" s="134">
        <v>8.7514456009251829E-3</v>
      </c>
      <c r="I16" s="134">
        <v>6.8025267603582611</v>
      </c>
      <c r="J16" s="134">
        <v>3.7741312741312741E-3</v>
      </c>
      <c r="K16" s="134">
        <v>0.28973343696172749</v>
      </c>
      <c r="L16" s="134">
        <v>17.890047068415985</v>
      </c>
      <c r="M16" s="134">
        <v>354.17794763349912</v>
      </c>
      <c r="N16" s="134">
        <v>3.9099676274018385</v>
      </c>
      <c r="O16" s="134">
        <v>3.8891134085213031</v>
      </c>
      <c r="P16" s="134">
        <v>0.63539908130815448</v>
      </c>
      <c r="Q16" s="134">
        <v>0.70036156627432888</v>
      </c>
      <c r="R16" s="134">
        <v>0.19447377043212349</v>
      </c>
      <c r="S16" s="134">
        <v>21.061789353053879</v>
      </c>
      <c r="T16" s="134">
        <v>1.147913732543736E-2</v>
      </c>
      <c r="U16" s="134">
        <v>0.25036633157266996</v>
      </c>
      <c r="V16" s="134">
        <v>0.23093507065747648</v>
      </c>
      <c r="W16" s="134" t="e">
        <v>#VALUE!</v>
      </c>
      <c r="X16" s="134" t="e">
        <v>#VALUE!</v>
      </c>
      <c r="Y16" s="134" t="e">
        <v>#VALUE!</v>
      </c>
      <c r="Z16" s="134">
        <v>2.0294594323250576E-3</v>
      </c>
      <c r="AA16" s="134">
        <v>1.9828464064942709E-3</v>
      </c>
    </row>
    <row r="17" spans="1:27" ht="15.75" x14ac:dyDescent="0.25">
      <c r="A17" s="125">
        <v>18</v>
      </c>
      <c r="B17" s="126" t="s">
        <v>173</v>
      </c>
      <c r="C17" s="126" t="s">
        <v>177</v>
      </c>
      <c r="D17" s="125"/>
      <c r="E17" s="134">
        <v>0.18212424431936627</v>
      </c>
      <c r="F17" s="134">
        <v>2.0487623991842035E-3</v>
      </c>
      <c r="G17" s="134" t="e">
        <v>#VALUE!</v>
      </c>
      <c r="H17" s="134">
        <v>9.4364380393203457E-3</v>
      </c>
      <c r="I17" s="134">
        <v>6.6309837617417893</v>
      </c>
      <c r="J17" s="134">
        <v>2.9536679536679537E-3</v>
      </c>
      <c r="K17" s="134">
        <v>0.22521215813132794</v>
      </c>
      <c r="L17" s="134">
        <v>14.080803869246166</v>
      </c>
      <c r="M17" s="134">
        <v>400.70629398850656</v>
      </c>
      <c r="N17" s="134">
        <v>3.2653769841269846</v>
      </c>
      <c r="O17" s="134">
        <v>3.2844559314954052</v>
      </c>
      <c r="P17" s="134">
        <v>0.55322719956028421</v>
      </c>
      <c r="Q17" s="134">
        <v>7.4524963458727583E-2</v>
      </c>
      <c r="R17" s="134">
        <v>0.13944810513669956</v>
      </c>
      <c r="S17" s="134">
        <v>16.30529392805343</v>
      </c>
      <c r="T17" s="134">
        <v>1.1004021515958798E-2</v>
      </c>
      <c r="U17" s="134" t="e">
        <v>#VALUE!</v>
      </c>
      <c r="V17" s="134">
        <v>0.24901646051679102</v>
      </c>
      <c r="W17" s="134" t="e">
        <v>#VALUE!</v>
      </c>
      <c r="X17" s="134" t="e">
        <v>#VALUE!</v>
      </c>
      <c r="Y17" s="134" t="e">
        <v>#VALUE!</v>
      </c>
      <c r="Z17" s="134">
        <v>1.0828564462229109E-3</v>
      </c>
      <c r="AA17" s="134">
        <v>1.7390244252255358E-3</v>
      </c>
    </row>
    <row r="18" spans="1:27" ht="15.75" x14ac:dyDescent="0.25">
      <c r="A18" s="125">
        <v>19</v>
      </c>
      <c r="B18" s="126" t="s">
        <v>173</v>
      </c>
      <c r="C18" s="126" t="s">
        <v>178</v>
      </c>
      <c r="D18" s="125"/>
      <c r="E18" s="134">
        <v>0.11091307066916821</v>
      </c>
      <c r="F18" s="134">
        <v>7.1660331880967817E-3</v>
      </c>
      <c r="G18" s="134" t="e">
        <v>#VALUE!</v>
      </c>
      <c r="H18" s="134">
        <v>6.7320523085134766E-3</v>
      </c>
      <c r="I18" s="134">
        <v>4.5322070924051552</v>
      </c>
      <c r="J18" s="134">
        <v>1.6650579150579152E-3</v>
      </c>
      <c r="K18" s="134">
        <v>0.10147565432928621</v>
      </c>
      <c r="L18" s="134">
        <v>20.268781039211326</v>
      </c>
      <c r="M18" s="134">
        <v>184.82920352553754</v>
      </c>
      <c r="N18" s="134">
        <v>2.1623694653299923</v>
      </c>
      <c r="O18" s="134">
        <v>2.1320958646616539</v>
      </c>
      <c r="P18" s="134">
        <v>0.17320678418593694</v>
      </c>
      <c r="Q18" s="134">
        <v>0.15306946688206785</v>
      </c>
      <c r="R18" s="134">
        <v>9.8947904910990564E-2</v>
      </c>
      <c r="S18" s="134">
        <v>9.543229716905115</v>
      </c>
      <c r="T18" s="134">
        <v>4.5729896662311453E-3</v>
      </c>
      <c r="U18" s="134">
        <v>4.2068495484750369E-2</v>
      </c>
      <c r="V18" s="134">
        <v>0.16015170112989016</v>
      </c>
      <c r="W18" s="134" t="e">
        <v>#VALUE!</v>
      </c>
      <c r="X18" s="134" t="e">
        <v>#VALUE!</v>
      </c>
      <c r="Y18" s="134" t="e">
        <v>#VALUE!</v>
      </c>
      <c r="Z18" s="134">
        <v>1.7426100425971345E-3</v>
      </c>
      <c r="AA18" s="134">
        <v>2.2410108572494011E-3</v>
      </c>
    </row>
    <row r="19" spans="1:27" ht="15.75" x14ac:dyDescent="0.25">
      <c r="A19" s="125">
        <v>20</v>
      </c>
      <c r="B19" s="126" t="s">
        <v>173</v>
      </c>
      <c r="C19" s="126" t="s">
        <v>179</v>
      </c>
      <c r="D19" s="125"/>
      <c r="E19" s="134">
        <v>0.10536793829476757</v>
      </c>
      <c r="F19" s="134">
        <v>7.1011402614257913E-3</v>
      </c>
      <c r="G19" s="134" t="e">
        <v>#VALUE!</v>
      </c>
      <c r="H19" s="134">
        <v>8.1376212080775737E-3</v>
      </c>
      <c r="I19" s="134">
        <v>4.6461006335105219</v>
      </c>
      <c r="J19" s="134" t="e">
        <v>#VALUE!</v>
      </c>
      <c r="K19" s="134">
        <v>7.3979120278956437E-2</v>
      </c>
      <c r="L19" s="134">
        <v>14.427442368986732</v>
      </c>
      <c r="M19" s="134">
        <v>146.647664169949</v>
      </c>
      <c r="N19" s="134">
        <v>1.5371397243107769</v>
      </c>
      <c r="O19" s="134">
        <v>1.5137792397660816</v>
      </c>
      <c r="P19" s="134">
        <v>0.11572965333123941</v>
      </c>
      <c r="Q19" s="134">
        <v>0.28777213631817838</v>
      </c>
      <c r="R19" s="134">
        <v>9.1466744329971969E-2</v>
      </c>
      <c r="S19" s="134">
        <v>8.310737371747809</v>
      </c>
      <c r="T19" s="134">
        <v>6.0831792035022821E-3</v>
      </c>
      <c r="U19" s="134">
        <v>0.17456125404668593</v>
      </c>
      <c r="V19" s="134">
        <v>0.16237056620400972</v>
      </c>
      <c r="W19" s="134" t="e">
        <v>#VALUE!</v>
      </c>
      <c r="X19" s="134" t="e">
        <v>#VALUE!</v>
      </c>
      <c r="Y19" s="134" t="e">
        <v>#VALUE!</v>
      </c>
      <c r="Z19" s="134">
        <v>1.0828564462229109E-3</v>
      </c>
      <c r="AA19" s="134">
        <v>1.4234900965248199E-3</v>
      </c>
    </row>
    <row r="20" spans="1:27" ht="15.75" x14ac:dyDescent="0.25">
      <c r="A20" s="125">
        <v>21</v>
      </c>
      <c r="B20" s="126" t="s">
        <v>173</v>
      </c>
      <c r="C20" s="126" t="s">
        <v>180</v>
      </c>
      <c r="D20" s="125"/>
      <c r="E20" s="134">
        <v>0.102991452991453</v>
      </c>
      <c r="F20" s="134">
        <v>6.0350421804023372E-3</v>
      </c>
      <c r="G20" s="134" t="e">
        <v>#VALUE!</v>
      </c>
      <c r="H20" s="134">
        <v>8.5112534472022057E-3</v>
      </c>
      <c r="I20" s="134">
        <v>3.2576713027015214</v>
      </c>
      <c r="J20" s="134">
        <v>3.5666023166023167E-3</v>
      </c>
      <c r="K20" s="134">
        <v>9.4636180313405857E-2</v>
      </c>
      <c r="L20" s="134">
        <v>17.986036987621382</v>
      </c>
      <c r="M20" s="134">
        <v>178.7204671660102</v>
      </c>
      <c r="N20" s="134">
        <v>1.7341739766081874</v>
      </c>
      <c r="O20" s="134">
        <v>1.7160557644110277</v>
      </c>
      <c r="P20" s="134">
        <v>0.17905657414314316</v>
      </c>
      <c r="Q20" s="134" t="e">
        <v>#VALUE!</v>
      </c>
      <c r="R20" s="134">
        <v>8.4149404783574189E-2</v>
      </c>
      <c r="S20" s="134">
        <v>8.0222885741400596</v>
      </c>
      <c r="T20" s="134">
        <v>4.4033054485602295E-3</v>
      </c>
      <c r="U20" s="134">
        <v>3.6258306355426796E-2</v>
      </c>
      <c r="V20" s="134">
        <v>0.17264658672457747</v>
      </c>
      <c r="W20" s="134" t="e">
        <v>#VALUE!</v>
      </c>
      <c r="X20" s="134" t="e">
        <v>#VALUE!</v>
      </c>
      <c r="Y20" s="134" t="e">
        <v>#VALUE!</v>
      </c>
      <c r="Z20" s="134">
        <v>1.2262811410868723E-3</v>
      </c>
      <c r="AA20" s="134">
        <v>1.7533668947119316E-3</v>
      </c>
    </row>
    <row r="21" spans="1:27" ht="15.75" x14ac:dyDescent="0.25">
      <c r="A21" s="125">
        <v>22</v>
      </c>
      <c r="B21" s="126" t="s">
        <v>51</v>
      </c>
      <c r="C21" s="126" t="s">
        <v>181</v>
      </c>
      <c r="D21" s="125"/>
      <c r="E21" s="134">
        <v>0.10367938294767565</v>
      </c>
      <c r="F21" s="134">
        <v>1.1550940947436729E-2</v>
      </c>
      <c r="G21" s="134">
        <v>1.8726244553629371E-3</v>
      </c>
      <c r="H21" s="134">
        <v>8.2888533048661155E-3</v>
      </c>
      <c r="I21" s="134">
        <v>5.089244884584577</v>
      </c>
      <c r="J21" s="134">
        <v>2.0849420849420844E-3</v>
      </c>
      <c r="K21" s="134">
        <v>0.14794878796790317</v>
      </c>
      <c r="L21" s="134">
        <v>118.79235230894673</v>
      </c>
      <c r="M21" s="134">
        <v>290.64382223800612</v>
      </c>
      <c r="N21" s="134">
        <v>45.359633458646613</v>
      </c>
      <c r="O21" s="134">
        <v>45.234706558061824</v>
      </c>
      <c r="P21" s="134">
        <v>0.43713438812767452</v>
      </c>
      <c r="Q21" s="134">
        <v>0.53719516885914298</v>
      </c>
      <c r="R21" s="134">
        <v>1.4639775747205941</v>
      </c>
      <c r="S21" s="134">
        <v>132.50396171683349</v>
      </c>
      <c r="T21" s="134">
        <v>5.194882323995046E-2</v>
      </c>
      <c r="U21" s="134">
        <v>0.21139887544726529</v>
      </c>
      <c r="V21" s="134">
        <v>0.21132722752022157</v>
      </c>
      <c r="W21" s="134" t="e">
        <v>#VALUE!</v>
      </c>
      <c r="X21" s="134" t="e">
        <v>#VALUE!</v>
      </c>
      <c r="Y21" s="134" t="e">
        <v>#VALUE!</v>
      </c>
      <c r="Z21" s="134">
        <v>1.7720121050442465E-2</v>
      </c>
      <c r="AA21" s="134">
        <v>1.7444028512829338E-2</v>
      </c>
    </row>
    <row r="22" spans="1:27" ht="15.75" x14ac:dyDescent="0.25">
      <c r="A22" s="125">
        <v>23</v>
      </c>
      <c r="B22" s="126" t="s">
        <v>51</v>
      </c>
      <c r="C22" s="126" t="s">
        <v>182</v>
      </c>
      <c r="D22" s="125"/>
      <c r="E22" s="134">
        <v>0.1939545549301647</v>
      </c>
      <c r="F22" s="134">
        <v>1.9458607583202003E-2</v>
      </c>
      <c r="G22" s="134">
        <v>4.2829331602855297E-3</v>
      </c>
      <c r="H22" s="134">
        <v>1.1500311360199271E-2</v>
      </c>
      <c r="I22" s="134">
        <v>7.1293744993810533</v>
      </c>
      <c r="J22" s="134">
        <v>8.1853281853281855E-3</v>
      </c>
      <c r="K22" s="134">
        <v>0.19998844683443265</v>
      </c>
      <c r="L22" s="134">
        <v>473.06657215921729</v>
      </c>
      <c r="M22" s="134">
        <v>400.2841334667786</v>
      </c>
      <c r="N22" s="134">
        <v>81.348940058479528</v>
      </c>
      <c r="O22" s="134">
        <v>81.743165204678348</v>
      </c>
      <c r="P22" s="134">
        <v>0.82753916218444512</v>
      </c>
      <c r="Q22" s="134">
        <v>0.98963381798599881</v>
      </c>
      <c r="R22" s="134">
        <v>2.6944009610834025</v>
      </c>
      <c r="S22" s="134">
        <v>224.09137017207729</v>
      </c>
      <c r="T22" s="134">
        <v>9.9104067330697571E-2</v>
      </c>
      <c r="U22" s="134">
        <v>0.33864372124723124</v>
      </c>
      <c r="V22" s="134">
        <v>0.38188084222453034</v>
      </c>
      <c r="W22" s="134" t="e">
        <v>#VALUE!</v>
      </c>
      <c r="X22" s="134" t="e">
        <v>#VALUE!</v>
      </c>
      <c r="Y22" s="134" t="e">
        <v>#VALUE!</v>
      </c>
      <c r="Z22" s="134">
        <v>6.1737159904192304E-2</v>
      </c>
      <c r="AA22" s="134">
        <v>6.3010054071109961E-2</v>
      </c>
    </row>
    <row r="23" spans="1:27" ht="15.75" x14ac:dyDescent="0.25">
      <c r="A23" s="125">
        <v>24</v>
      </c>
      <c r="B23" s="126" t="s">
        <v>51</v>
      </c>
      <c r="C23" s="126" t="s">
        <v>183</v>
      </c>
      <c r="D23" s="125"/>
      <c r="E23" s="134">
        <v>0.20725453408380237</v>
      </c>
      <c r="F23" s="134">
        <v>1.3803652544729768E-2</v>
      </c>
      <c r="G23" s="134">
        <v>2.2527115972930381E-3</v>
      </c>
      <c r="H23" s="134">
        <v>1.0842006938884438E-2</v>
      </c>
      <c r="I23" s="134">
        <v>7.3539066482196178</v>
      </c>
      <c r="J23" s="134">
        <v>4.9710424710424717E-3</v>
      </c>
      <c r="K23" s="134">
        <v>0.21959521909003069</v>
      </c>
      <c r="L23" s="134">
        <v>175.8499091987251</v>
      </c>
      <c r="M23" s="134">
        <v>423.16603441596186</v>
      </c>
      <c r="N23" s="134">
        <v>61.82561090225564</v>
      </c>
      <c r="O23" s="134">
        <v>62.511043233082695</v>
      </c>
      <c r="P23" s="134">
        <v>0.63027560755368839</v>
      </c>
      <c r="Q23" s="134">
        <v>0.82850603892607122</v>
      </c>
      <c r="R23" s="134">
        <v>1.9701663693618257</v>
      </c>
      <c r="S23" s="134">
        <v>182.08893494726667</v>
      </c>
      <c r="T23" s="134">
        <v>7.5755518979179759E-2</v>
      </c>
      <c r="U23" s="134">
        <v>0.36852956210598059</v>
      </c>
      <c r="V23" s="134">
        <v>0.40144147546659115</v>
      </c>
      <c r="W23" s="134" t="e">
        <v>#VALUE!</v>
      </c>
      <c r="X23" s="134" t="e">
        <v>#VALUE!</v>
      </c>
      <c r="Y23" s="134" t="e">
        <v>#VALUE!</v>
      </c>
      <c r="Z23" s="134">
        <v>2.740128795375988E-2</v>
      </c>
      <c r="AA23" s="134">
        <v>2.7770606543034579E-2</v>
      </c>
    </row>
    <row r="24" spans="1:27" ht="15.75" x14ac:dyDescent="0.25">
      <c r="A24" s="125"/>
      <c r="B24" s="127"/>
      <c r="C24" s="125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1:27" ht="15.75" x14ac:dyDescent="0.25">
      <c r="A25" s="125"/>
      <c r="B25" s="127"/>
      <c r="C25" s="125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spans="1:27" ht="15.75" x14ac:dyDescent="0.25">
      <c r="A26" s="124"/>
      <c r="B26" s="127"/>
      <c r="C26" s="125"/>
      <c r="D26" s="134"/>
      <c r="E26" s="124"/>
      <c r="G26" s="12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</row>
    <row r="27" spans="1:27" ht="15.75" x14ac:dyDescent="0.25">
      <c r="A27" s="124"/>
      <c r="B27" s="127"/>
      <c r="C27" s="125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</row>
    <row r="30" spans="1:27" ht="15.75" x14ac:dyDescent="0.25">
      <c r="C30" s="128" t="s">
        <v>208</v>
      </c>
    </row>
    <row r="31" spans="1:27" ht="15.75" x14ac:dyDescent="0.25">
      <c r="C31" s="128" t="s">
        <v>209</v>
      </c>
    </row>
    <row r="32" spans="1:27" x14ac:dyDescent="0.25">
      <c r="C32" t="s">
        <v>210</v>
      </c>
    </row>
    <row r="33" spans="3:13" x14ac:dyDescent="0.25">
      <c r="C33" t="s">
        <v>211</v>
      </c>
    </row>
    <row r="34" spans="3:13" x14ac:dyDescent="0.25">
      <c r="C34" t="s">
        <v>212</v>
      </c>
    </row>
    <row r="36" spans="3:13" x14ac:dyDescent="0.25">
      <c r="C36" t="s">
        <v>213</v>
      </c>
    </row>
    <row r="37" spans="3:13" x14ac:dyDescent="0.25">
      <c r="C37" t="s">
        <v>214</v>
      </c>
    </row>
    <row r="38" spans="3:13" ht="31.5" x14ac:dyDescent="0.25">
      <c r="C38" s="129" t="s">
        <v>215</v>
      </c>
      <c r="D38" s="130"/>
      <c r="E38" s="130" t="s">
        <v>216</v>
      </c>
      <c r="F38" s="130" t="s">
        <v>217</v>
      </c>
      <c r="G38" s="130" t="s">
        <v>218</v>
      </c>
      <c r="H38" s="130" t="s">
        <v>219</v>
      </c>
      <c r="I38" s="131" t="s">
        <v>220</v>
      </c>
      <c r="J38" s="131" t="s">
        <v>221</v>
      </c>
      <c r="K38" s="131" t="s">
        <v>222</v>
      </c>
      <c r="L38" s="131" t="s">
        <v>223</v>
      </c>
      <c r="M38" s="132" t="s">
        <v>224</v>
      </c>
    </row>
    <row r="39" spans="3:13" ht="15.75" x14ac:dyDescent="0.25">
      <c r="C39" s="133" t="s">
        <v>225</v>
      </c>
      <c r="D39" s="125" t="s">
        <v>184</v>
      </c>
      <c r="E39" s="125">
        <v>1.9400921658986177</v>
      </c>
      <c r="F39" s="125"/>
      <c r="G39" s="125">
        <v>1.2302051282051283</v>
      </c>
      <c r="H39" s="125">
        <v>1.9348086124401913</v>
      </c>
      <c r="I39" s="134">
        <v>1.7017019688479789</v>
      </c>
      <c r="J39" s="134">
        <v>0.40833678751299135</v>
      </c>
      <c r="K39" s="135">
        <v>23.995787452101727</v>
      </c>
      <c r="L39" s="125">
        <v>1.35</v>
      </c>
      <c r="M39" s="136">
        <v>126.05199769244287</v>
      </c>
    </row>
    <row r="40" spans="3:13" ht="15.75" x14ac:dyDescent="0.25">
      <c r="C40" s="133"/>
      <c r="D40" s="125" t="s">
        <v>185</v>
      </c>
      <c r="E40" s="125">
        <v>5.1382488479262682E-2</v>
      </c>
      <c r="F40" s="125"/>
      <c r="G40" s="125">
        <v>4.6547008547008537E-2</v>
      </c>
      <c r="H40" s="125">
        <v>5.3755980861244029E-2</v>
      </c>
      <c r="I40" s="134">
        <v>5.056182596250508E-2</v>
      </c>
      <c r="J40" s="134">
        <v>3.673885638076075E-3</v>
      </c>
      <c r="K40" s="135">
        <v>7.2661253191300945</v>
      </c>
      <c r="L40" s="125"/>
      <c r="M40" s="136"/>
    </row>
    <row r="41" spans="3:13" ht="15.75" x14ac:dyDescent="0.25">
      <c r="C41" s="133"/>
      <c r="D41" s="125" t="s">
        <v>186</v>
      </c>
      <c r="E41" s="125">
        <v>4.9700460829493087E-2</v>
      </c>
      <c r="F41" s="125"/>
      <c r="G41" s="125">
        <v>4.3470085470085462E-2</v>
      </c>
      <c r="H41" s="125">
        <v>5.2224880382775118E-2</v>
      </c>
      <c r="I41" s="134">
        <v>4.846514222745122E-2</v>
      </c>
      <c r="J41" s="134">
        <v>4.5062309669198237E-3</v>
      </c>
      <c r="K41" s="135">
        <v>9.2978804142814262</v>
      </c>
      <c r="L41" s="125"/>
      <c r="M41" s="136"/>
    </row>
    <row r="42" spans="3:13" ht="15.75" x14ac:dyDescent="0.25">
      <c r="C42" s="133"/>
      <c r="D42" s="125" t="s">
        <v>188</v>
      </c>
      <c r="E42" s="125">
        <v>0.42898617511520742</v>
      </c>
      <c r="F42" s="125"/>
      <c r="G42" s="125">
        <v>0.44541880341880341</v>
      </c>
      <c r="H42" s="125">
        <v>0.43739234449760767</v>
      </c>
      <c r="I42" s="134">
        <v>0.43726577434387287</v>
      </c>
      <c r="J42" s="134">
        <v>8.2170452867133641E-3</v>
      </c>
      <c r="K42" s="135">
        <v>1.8791878461201827</v>
      </c>
      <c r="L42" s="125">
        <v>0.38300000000000001</v>
      </c>
      <c r="M42" s="136">
        <v>114.16860948926184</v>
      </c>
    </row>
    <row r="43" spans="3:13" ht="15.75" x14ac:dyDescent="0.25">
      <c r="C43" s="133"/>
      <c r="D43" s="125" t="s">
        <v>189</v>
      </c>
      <c r="E43" s="125">
        <v>33.836682027649772</v>
      </c>
      <c r="F43" s="125"/>
      <c r="G43" s="125">
        <v>26.120119658119652</v>
      </c>
      <c r="H43" s="125">
        <v>31.997320574162682</v>
      </c>
      <c r="I43" s="134">
        <v>30.651374086644037</v>
      </c>
      <c r="J43" s="134">
        <v>4.0305102234282932</v>
      </c>
      <c r="K43" s="135">
        <v>13.149525408012749</v>
      </c>
      <c r="L43" s="125"/>
      <c r="M43" s="136"/>
    </row>
    <row r="44" spans="3:13" ht="15.75" x14ac:dyDescent="0.25">
      <c r="C44" s="133"/>
      <c r="D44" s="125" t="s">
        <v>190</v>
      </c>
      <c r="E44" s="125">
        <v>3.4457603686635943</v>
      </c>
      <c r="F44" s="125"/>
      <c r="G44" s="125">
        <v>3.2002564102564097</v>
      </c>
      <c r="H44" s="125">
        <v>3.6040669856459329</v>
      </c>
      <c r="I44" s="134">
        <v>3.4166945881886455</v>
      </c>
      <c r="J44" s="134">
        <v>0.20346832651562224</v>
      </c>
      <c r="K44" s="135">
        <v>5.9551218659988754</v>
      </c>
      <c r="L44" s="125">
        <v>3.97</v>
      </c>
      <c r="M44" s="136">
        <v>86.062835974525072</v>
      </c>
    </row>
    <row r="45" spans="3:13" ht="15.75" x14ac:dyDescent="0.25">
      <c r="C45" s="133"/>
      <c r="D45" s="125" t="s">
        <v>191</v>
      </c>
      <c r="E45" s="125">
        <v>0.14089861751152077</v>
      </c>
      <c r="F45" s="125"/>
      <c r="G45" s="125">
        <v>0.10452991452991453</v>
      </c>
      <c r="H45" s="125">
        <v>0.134688995215311</v>
      </c>
      <c r="I45" s="134">
        <v>0.12670584241891544</v>
      </c>
      <c r="J45" s="134">
        <v>1.9454271653521881E-2</v>
      </c>
      <c r="K45" s="135">
        <v>15.353886831202368</v>
      </c>
      <c r="L45" s="125"/>
      <c r="M45" s="136"/>
    </row>
    <row r="46" spans="3:13" ht="15.75" x14ac:dyDescent="0.25">
      <c r="C46" s="133"/>
      <c r="D46" s="125" t="s">
        <v>192</v>
      </c>
      <c r="E46" s="125">
        <v>2242.7070506912441</v>
      </c>
      <c r="F46" s="125"/>
      <c r="G46" s="125">
        <v>1349.4441367521365</v>
      </c>
      <c r="H46" s="125">
        <v>1942.7231100478471</v>
      </c>
      <c r="I46" s="134">
        <v>1844.9580991637424</v>
      </c>
      <c r="J46" s="134">
        <v>454.58569749786864</v>
      </c>
      <c r="K46" s="135">
        <v>24.639350763787917</v>
      </c>
      <c r="L46" s="125"/>
      <c r="M46" s="136"/>
    </row>
    <row r="47" spans="3:13" ht="15.75" x14ac:dyDescent="0.25">
      <c r="C47" s="133"/>
      <c r="D47" s="125" t="s">
        <v>193</v>
      </c>
      <c r="E47" s="125">
        <v>17822.956082949309</v>
      </c>
      <c r="F47" s="125"/>
      <c r="G47" s="125">
        <v>22121.282410256408</v>
      </c>
      <c r="H47" s="125">
        <v>18351.353062200957</v>
      </c>
      <c r="I47" s="134">
        <v>19431.863851802224</v>
      </c>
      <c r="J47" s="134">
        <v>2344.0413773734667</v>
      </c>
      <c r="K47" s="135">
        <v>12.062874643679983</v>
      </c>
      <c r="L47" s="125"/>
      <c r="M47" s="136"/>
    </row>
    <row r="48" spans="3:13" ht="15.75" x14ac:dyDescent="0.25">
      <c r="C48" s="133"/>
      <c r="D48" s="125" t="s">
        <v>194</v>
      </c>
      <c r="E48" s="125">
        <v>61.58281105990784</v>
      </c>
      <c r="F48" s="125"/>
      <c r="G48" s="125">
        <v>31.071572649572648</v>
      </c>
      <c r="H48" s="125">
        <v>53.623492822966504</v>
      </c>
      <c r="I48" s="134">
        <v>48.75929217748233</v>
      </c>
      <c r="J48" s="134">
        <v>15.826536363738137</v>
      </c>
      <c r="K48" s="135">
        <v>32.45850310158324</v>
      </c>
      <c r="L48" s="125"/>
      <c r="M48" s="136"/>
    </row>
    <row r="49" spans="3:13" ht="15.75" x14ac:dyDescent="0.25">
      <c r="C49" s="133"/>
      <c r="D49" s="125" t="s">
        <v>195</v>
      </c>
      <c r="E49" s="125">
        <v>62.17762672811061</v>
      </c>
      <c r="F49" s="125"/>
      <c r="G49" s="125">
        <v>31.334495726495728</v>
      </c>
      <c r="H49" s="125">
        <v>53.267224880382784</v>
      </c>
      <c r="I49" s="134">
        <v>48.92644911166304</v>
      </c>
      <c r="J49" s="134">
        <v>15.873135581901341</v>
      </c>
      <c r="K49" s="135">
        <v>32.442852220226868</v>
      </c>
      <c r="L49" s="125"/>
      <c r="M49" s="136"/>
    </row>
    <row r="50" spans="3:13" ht="15.75" x14ac:dyDescent="0.25">
      <c r="C50" s="133"/>
      <c r="D50" s="125" t="s">
        <v>196</v>
      </c>
      <c r="E50" s="125">
        <v>9.9709907834101372</v>
      </c>
      <c r="F50" s="125"/>
      <c r="G50" s="125">
        <v>8.9486837606837604</v>
      </c>
      <c r="H50" s="125">
        <v>9.491626794258373</v>
      </c>
      <c r="I50" s="134">
        <v>9.4704337794507563</v>
      </c>
      <c r="J50" s="134">
        <v>0.51148291280002112</v>
      </c>
      <c r="K50" s="135">
        <v>5.4008393354679569</v>
      </c>
      <c r="L50" s="125">
        <v>8.1</v>
      </c>
      <c r="M50" s="136">
        <v>116.91893554877477</v>
      </c>
    </row>
    <row r="51" spans="3:13" ht="15.75" x14ac:dyDescent="0.25">
      <c r="C51" s="133"/>
      <c r="D51" s="125" t="s">
        <v>197</v>
      </c>
      <c r="E51" s="125">
        <v>25.937626728110601</v>
      </c>
      <c r="F51" s="125"/>
      <c r="G51" s="125">
        <v>19.390478632478629</v>
      </c>
      <c r="H51" s="125">
        <v>25.264186602870815</v>
      </c>
      <c r="I51" s="134">
        <v>23.530763987820013</v>
      </c>
      <c r="J51" s="134">
        <v>3.6013681453458131</v>
      </c>
      <c r="K51" s="135">
        <v>15.304935051024914</v>
      </c>
      <c r="L51" s="125">
        <v>23.8</v>
      </c>
      <c r="M51" s="136">
        <v>98.868756251344593</v>
      </c>
    </row>
    <row r="52" spans="3:13" ht="15.75" x14ac:dyDescent="0.25">
      <c r="C52" s="133"/>
      <c r="D52" s="125" t="s">
        <v>198</v>
      </c>
      <c r="E52" s="125">
        <v>278.03384792626724</v>
      </c>
      <c r="F52" s="125"/>
      <c r="G52" s="125">
        <v>284.36039316239317</v>
      </c>
      <c r="H52" s="125">
        <v>283.4405980861244</v>
      </c>
      <c r="I52" s="134">
        <v>281.94494639159495</v>
      </c>
      <c r="J52" s="134">
        <v>3.4181901862972079</v>
      </c>
      <c r="K52" s="135">
        <v>1.2123608633685754</v>
      </c>
      <c r="L52" s="125">
        <v>299</v>
      </c>
      <c r="M52" s="136">
        <v>94.295968692841129</v>
      </c>
    </row>
    <row r="53" spans="3:13" ht="15.75" x14ac:dyDescent="0.25">
      <c r="C53" s="133"/>
      <c r="D53" s="125" t="s">
        <v>199</v>
      </c>
      <c r="E53" s="125">
        <v>1873.7680414746546</v>
      </c>
      <c r="F53" s="125"/>
      <c r="G53" s="125">
        <v>1850.1211452991449</v>
      </c>
      <c r="H53" s="125">
        <v>1877.9101674641149</v>
      </c>
      <c r="I53" s="134">
        <v>1867.2664514126382</v>
      </c>
      <c r="J53" s="134">
        <v>14.992012647479388</v>
      </c>
      <c r="K53" s="135">
        <v>0.80288555691329</v>
      </c>
      <c r="L53" s="125">
        <v>1850</v>
      </c>
      <c r="M53" s="136">
        <v>100.93332169798043</v>
      </c>
    </row>
    <row r="54" spans="3:13" ht="15.75" x14ac:dyDescent="0.25">
      <c r="C54" s="133"/>
      <c r="D54" s="125" t="s">
        <v>200</v>
      </c>
      <c r="E54" s="125">
        <v>1.5279723502304148</v>
      </c>
      <c r="F54" s="125"/>
      <c r="G54" s="125">
        <v>1.5156752136752134</v>
      </c>
      <c r="H54" s="125">
        <v>1.5544497607655503</v>
      </c>
      <c r="I54" s="134">
        <v>1.532699108223726</v>
      </c>
      <c r="J54" s="134">
        <v>1.9814718175151728E-2</v>
      </c>
      <c r="K54" s="135">
        <v>1.2927989628776766</v>
      </c>
      <c r="L54" s="125">
        <v>1.43</v>
      </c>
      <c r="M54" s="136">
        <v>107.18175581984097</v>
      </c>
    </row>
    <row r="55" spans="3:13" ht="15.75" x14ac:dyDescent="0.25">
      <c r="C55" s="133"/>
      <c r="D55" s="125" t="s">
        <v>201</v>
      </c>
      <c r="E55" s="125">
        <v>18.63389400921659</v>
      </c>
      <c r="F55" s="125"/>
      <c r="G55" s="125">
        <v>15.852068376068376</v>
      </c>
      <c r="H55" s="125">
        <v>18.558971291866026</v>
      </c>
      <c r="I55" s="134">
        <v>17.68164455905033</v>
      </c>
      <c r="J55" s="134">
        <v>1.584902240011955</v>
      </c>
      <c r="K55" s="135">
        <v>8.9635454141098236</v>
      </c>
      <c r="L55" s="125">
        <v>18.8</v>
      </c>
      <c r="M55" s="136">
        <v>94.051300846012381</v>
      </c>
    </row>
    <row r="56" spans="3:13" ht="15.75" x14ac:dyDescent="0.25">
      <c r="C56" s="133"/>
      <c r="D56" s="125" t="s">
        <v>202</v>
      </c>
      <c r="E56" s="125">
        <v>26.090990783410138</v>
      </c>
      <c r="F56" s="125"/>
      <c r="G56" s="125">
        <v>25.045179487179482</v>
      </c>
      <c r="H56" s="125">
        <v>26.552368421052634</v>
      </c>
      <c r="I56" s="134">
        <v>25.89617956388075</v>
      </c>
      <c r="J56" s="134">
        <v>0.77224878053533863</v>
      </c>
      <c r="K56" s="135">
        <v>2.9820954038040774</v>
      </c>
      <c r="L56" s="125">
        <v>29.5</v>
      </c>
      <c r="M56" s="136">
        <v>87.783659538578817</v>
      </c>
    </row>
    <row r="57" spans="3:13" ht="15.75" x14ac:dyDescent="0.25">
      <c r="C57" s="133"/>
      <c r="D57" s="125" t="s">
        <v>203</v>
      </c>
      <c r="E57" s="125">
        <v>110.63218894009216</v>
      </c>
      <c r="F57" s="125"/>
      <c r="G57" s="125">
        <v>132.72988034188035</v>
      </c>
      <c r="H57" s="125">
        <v>112.52504784688993</v>
      </c>
      <c r="I57" s="134">
        <v>118.62903904295415</v>
      </c>
      <c r="J57" s="134">
        <v>12.248306932526956</v>
      </c>
      <c r="K57" s="135">
        <v>10.32488084818085</v>
      </c>
      <c r="L57" s="125">
        <v>111.6</v>
      </c>
      <c r="M57" s="136">
        <v>106.29842208150014</v>
      </c>
    </row>
    <row r="58" spans="3:13" ht="15.75" x14ac:dyDescent="0.25">
      <c r="C58" s="133"/>
      <c r="D58" s="125" t="s">
        <v>204</v>
      </c>
      <c r="E58" s="125">
        <v>109.59702764976959</v>
      </c>
      <c r="F58" s="125"/>
      <c r="G58" s="125">
        <v>130.58873504273504</v>
      </c>
      <c r="H58" s="125">
        <v>111.95923444976077</v>
      </c>
      <c r="I58" s="134">
        <v>117.38166571408847</v>
      </c>
      <c r="J58" s="134">
        <v>11.498478831142792</v>
      </c>
      <c r="K58" s="135">
        <v>9.7958047887564721</v>
      </c>
      <c r="L58" s="125">
        <v>111.6</v>
      </c>
      <c r="M58" s="136">
        <v>105.18070404488216</v>
      </c>
    </row>
    <row r="59" spans="3:13" ht="15.75" x14ac:dyDescent="0.25">
      <c r="C59" s="133"/>
      <c r="D59" s="125" t="s">
        <v>205</v>
      </c>
      <c r="E59" s="125">
        <v>111.14790322580644</v>
      </c>
      <c r="F59" s="125"/>
      <c r="G59" s="125">
        <v>134.02762393162391</v>
      </c>
      <c r="H59" s="125">
        <v>113.1899043062201</v>
      </c>
      <c r="I59" s="134">
        <v>119.45514382121682</v>
      </c>
      <c r="J59" s="134">
        <v>12.661371352632395</v>
      </c>
      <c r="K59" s="135">
        <v>10.599268434670426</v>
      </c>
      <c r="L59" s="125">
        <v>111.6</v>
      </c>
      <c r="M59" s="136">
        <v>107.03865933800792</v>
      </c>
    </row>
    <row r="60" spans="3:13" ht="15.75" x14ac:dyDescent="0.25">
      <c r="C60" s="133"/>
      <c r="D60" s="125" t="s">
        <v>206</v>
      </c>
      <c r="E60" s="125">
        <v>0.58827188940092179</v>
      </c>
      <c r="F60" s="125"/>
      <c r="G60" s="125">
        <v>0.34652991452991455</v>
      </c>
      <c r="H60" s="125">
        <v>0.50509569377990426</v>
      </c>
      <c r="I60" s="134">
        <v>0.47996583257024689</v>
      </c>
      <c r="J60" s="134">
        <v>0.12281460844275051</v>
      </c>
      <c r="K60" s="135">
        <v>25.588198181747778</v>
      </c>
      <c r="L60" s="125"/>
      <c r="M60" s="137"/>
    </row>
    <row r="61" spans="3:13" ht="15.75" x14ac:dyDescent="0.25">
      <c r="C61" s="138"/>
      <c r="D61" s="139" t="s">
        <v>207</v>
      </c>
      <c r="E61" s="139">
        <v>0.59827188940092157</v>
      </c>
      <c r="F61" s="139"/>
      <c r="G61" s="139">
        <v>0.36707692307692308</v>
      </c>
      <c r="H61" s="139">
        <v>0.52069377990430621</v>
      </c>
      <c r="I61" s="140">
        <v>0.49534753079405025</v>
      </c>
      <c r="J61" s="140">
        <v>0.11766308839801076</v>
      </c>
      <c r="K61" s="141">
        <v>23.753643872897658</v>
      </c>
      <c r="L61" s="139"/>
      <c r="M61" s="14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B24" sqref="B24"/>
    </sheetView>
  </sheetViews>
  <sheetFormatPr baseColWidth="10" defaultColWidth="9.140625" defaultRowHeight="15" x14ac:dyDescent="0.25"/>
  <cols>
    <col min="1" max="1" width="24.85546875" bestFit="1" customWidth="1"/>
    <col min="2" max="2" width="14" bestFit="1" customWidth="1"/>
    <col min="3" max="3" width="12.42578125" style="205" bestFit="1" customWidth="1"/>
    <col min="4" max="4" width="11.42578125" style="205"/>
    <col min="5" max="5" width="9" bestFit="1" customWidth="1"/>
    <col min="6" max="6" width="3.85546875" bestFit="1" customWidth="1"/>
    <col min="7" max="7" width="12.5703125" style="205" bestFit="1" customWidth="1"/>
  </cols>
  <sheetData>
    <row r="1" spans="1:7" ht="18" x14ac:dyDescent="0.25">
      <c r="A1" s="186" t="s">
        <v>257</v>
      </c>
      <c r="B1" s="187" t="s">
        <v>258</v>
      </c>
      <c r="C1" s="188"/>
      <c r="D1" s="188"/>
      <c r="E1" s="189"/>
      <c r="F1" s="189"/>
      <c r="G1" s="190"/>
    </row>
    <row r="2" spans="1:7" ht="31.5" x14ac:dyDescent="0.25">
      <c r="A2" s="191" t="s">
        <v>259</v>
      </c>
      <c r="B2" s="192" t="s">
        <v>260</v>
      </c>
      <c r="C2" s="193" t="s">
        <v>66</v>
      </c>
      <c r="D2" s="193" t="s">
        <v>77</v>
      </c>
      <c r="E2" s="194" t="s">
        <v>261</v>
      </c>
      <c r="F2" s="195"/>
      <c r="G2" s="196" t="s">
        <v>157</v>
      </c>
    </row>
    <row r="3" spans="1:7" x14ac:dyDescent="0.25">
      <c r="A3" s="197" t="s">
        <v>262</v>
      </c>
      <c r="B3" s="198" t="s">
        <v>263</v>
      </c>
      <c r="C3" s="199" t="s">
        <v>75</v>
      </c>
      <c r="D3" s="199" t="s">
        <v>85</v>
      </c>
      <c r="E3" s="200" t="s">
        <v>264</v>
      </c>
      <c r="F3" s="200" t="s">
        <v>265</v>
      </c>
      <c r="G3" s="201" t="s">
        <v>266</v>
      </c>
    </row>
    <row r="4" spans="1:7" ht="15.75" x14ac:dyDescent="0.25">
      <c r="A4" s="202" t="s">
        <v>267</v>
      </c>
      <c r="B4" s="203"/>
      <c r="C4" s="204"/>
      <c r="E4" s="205"/>
      <c r="F4" s="205"/>
    </row>
    <row r="5" spans="1:7" x14ac:dyDescent="0.25">
      <c r="A5" s="123" t="s">
        <v>268</v>
      </c>
      <c r="B5" t="s">
        <v>269</v>
      </c>
      <c r="C5" s="206">
        <v>3</v>
      </c>
      <c r="D5" s="207">
        <v>12</v>
      </c>
      <c r="E5" s="208">
        <v>45.136049951105093</v>
      </c>
      <c r="F5" s="208">
        <v>2.094847335519983</v>
      </c>
      <c r="G5" s="209">
        <v>722.17679921768149</v>
      </c>
    </row>
    <row r="6" spans="1:7" x14ac:dyDescent="0.25">
      <c r="A6" s="123" t="s">
        <v>270</v>
      </c>
      <c r="B6" t="s">
        <v>271</v>
      </c>
      <c r="C6" s="207">
        <v>4</v>
      </c>
      <c r="D6" s="207">
        <v>12</v>
      </c>
      <c r="E6" s="208">
        <v>42.212648260203459</v>
      </c>
      <c r="F6" s="208">
        <v>1.9597354520077788</v>
      </c>
      <c r="G6" s="209">
        <v>675.40237216325534</v>
      </c>
    </row>
    <row r="7" spans="1:7" x14ac:dyDescent="0.25">
      <c r="A7" s="123" t="s">
        <v>272</v>
      </c>
      <c r="B7" t="s">
        <v>273</v>
      </c>
      <c r="C7" s="207">
        <v>7</v>
      </c>
      <c r="D7" s="207">
        <v>12</v>
      </c>
      <c r="E7" s="208">
        <v>54.322438235540773</v>
      </c>
      <c r="F7" s="208">
        <v>2.497222746890654</v>
      </c>
      <c r="G7" s="209">
        <v>869.15901176865236</v>
      </c>
    </row>
    <row r="8" spans="1:7" x14ac:dyDescent="0.25">
      <c r="A8" s="123" t="s">
        <v>274</v>
      </c>
      <c r="B8" t="s">
        <v>275</v>
      </c>
      <c r="C8" s="207">
        <v>8</v>
      </c>
      <c r="D8" s="207">
        <v>12</v>
      </c>
      <c r="E8" s="208">
        <v>51.651154142641218</v>
      </c>
      <c r="F8" s="208">
        <v>2.3865156727609329</v>
      </c>
      <c r="G8" s="209">
        <v>826.41846628225949</v>
      </c>
    </row>
    <row r="9" spans="1:7" x14ac:dyDescent="0.25">
      <c r="A9" s="123" t="s">
        <v>276</v>
      </c>
      <c r="B9" t="s">
        <v>277</v>
      </c>
      <c r="C9" s="207">
        <v>10</v>
      </c>
      <c r="D9" s="207">
        <v>12</v>
      </c>
      <c r="E9" s="208">
        <v>81.968216659582964</v>
      </c>
      <c r="F9" s="208">
        <v>3.7449159563499537</v>
      </c>
      <c r="G9" s="209">
        <v>1311.4914665533274</v>
      </c>
    </row>
    <row r="10" spans="1:7" x14ac:dyDescent="0.25">
      <c r="C10" s="207"/>
      <c r="D10" s="207"/>
      <c r="G10" s="185"/>
    </row>
    <row r="11" spans="1:7" x14ac:dyDescent="0.25">
      <c r="A11" s="210" t="s">
        <v>278</v>
      </c>
      <c r="C11" s="207"/>
      <c r="D11" s="207"/>
      <c r="G11" s="185"/>
    </row>
    <row r="12" spans="1:7" x14ac:dyDescent="0.25">
      <c r="A12" t="s">
        <v>279</v>
      </c>
    </row>
    <row r="13" spans="1:7" x14ac:dyDescent="0.25">
      <c r="A13" t="s">
        <v>135</v>
      </c>
      <c r="B13" t="s">
        <v>280</v>
      </c>
      <c r="C13" s="207">
        <v>3</v>
      </c>
      <c r="D13" s="207">
        <v>1</v>
      </c>
      <c r="E13" s="208">
        <v>5.1915774004382556</v>
      </c>
      <c r="F13" s="208">
        <v>0.34287747941484104</v>
      </c>
      <c r="G13" s="209">
        <v>996.78286088414507</v>
      </c>
    </row>
    <row r="14" spans="1:7" x14ac:dyDescent="0.25">
      <c r="A14" t="s">
        <v>136</v>
      </c>
      <c r="B14" t="s">
        <v>281</v>
      </c>
      <c r="C14" s="207">
        <v>4</v>
      </c>
      <c r="D14" s="207">
        <v>8</v>
      </c>
      <c r="E14" s="208">
        <v>44.692019978808062</v>
      </c>
      <c r="F14" s="208">
        <v>2.9734036656305314</v>
      </c>
      <c r="G14" s="209">
        <v>1072.6084794913936</v>
      </c>
    </row>
    <row r="15" spans="1:7" x14ac:dyDescent="0.25">
      <c r="A15" t="s">
        <v>137</v>
      </c>
      <c r="B15" s="161" t="s">
        <v>282</v>
      </c>
      <c r="C15" s="207">
        <v>7</v>
      </c>
      <c r="D15" s="207">
        <v>12</v>
      </c>
      <c r="E15" s="208">
        <v>59.182681649923239</v>
      </c>
      <c r="F15" s="208">
        <v>3.4732378243330273</v>
      </c>
      <c r="G15" s="209">
        <v>946.92290639877183</v>
      </c>
    </row>
    <row r="16" spans="1:7" x14ac:dyDescent="0.25">
      <c r="A16" t="s">
        <v>138</v>
      </c>
      <c r="B16" t="s">
        <v>283</v>
      </c>
      <c r="C16" s="207">
        <v>8</v>
      </c>
      <c r="D16" s="207">
        <v>12</v>
      </c>
      <c r="E16" s="208">
        <v>50.834097215095326</v>
      </c>
      <c r="F16" s="208">
        <v>3.3376377534223032</v>
      </c>
      <c r="G16" s="209">
        <v>813.34555544152522</v>
      </c>
    </row>
    <row r="17" spans="1:7" x14ac:dyDescent="0.25">
      <c r="A17" t="s">
        <v>139</v>
      </c>
      <c r="B17" t="s">
        <v>284</v>
      </c>
      <c r="C17" s="207">
        <v>11</v>
      </c>
      <c r="D17" s="207">
        <v>12</v>
      </c>
      <c r="E17" s="208">
        <v>77.488146665398304</v>
      </c>
      <c r="F17" s="208">
        <v>4.4966339209320587</v>
      </c>
      <c r="G17" s="209">
        <v>1239.8103466463729</v>
      </c>
    </row>
    <row r="18" spans="1:7" x14ac:dyDescent="0.25">
      <c r="A18" t="s">
        <v>140</v>
      </c>
      <c r="B18" s="161" t="s">
        <v>285</v>
      </c>
      <c r="C18" s="207">
        <v>12</v>
      </c>
      <c r="D18" s="207">
        <v>12</v>
      </c>
      <c r="E18" s="208">
        <v>97.830468378429117</v>
      </c>
      <c r="F18" s="208">
        <v>4.4827958232853815</v>
      </c>
      <c r="G18" s="209">
        <v>1565.2874940548659</v>
      </c>
    </row>
    <row r="20" spans="1:7" x14ac:dyDescent="0.25">
      <c r="A20" t="s">
        <v>286</v>
      </c>
      <c r="B20" s="161" t="s">
        <v>287</v>
      </c>
      <c r="C20" s="207">
        <v>4</v>
      </c>
      <c r="D20" s="207">
        <v>8</v>
      </c>
      <c r="E20" s="208">
        <v>0.68537413565949323</v>
      </c>
      <c r="F20" s="208">
        <v>0.12388508437374687</v>
      </c>
      <c r="G20" s="209">
        <v>16.44897925582784</v>
      </c>
    </row>
    <row r="21" spans="1:7" x14ac:dyDescent="0.25">
      <c r="B21" s="161"/>
      <c r="C21" s="207"/>
      <c r="D21" s="207"/>
      <c r="G21" s="209"/>
    </row>
    <row r="22" spans="1:7" x14ac:dyDescent="0.25">
      <c r="A22" s="210" t="s">
        <v>99</v>
      </c>
      <c r="B22" s="161"/>
      <c r="C22" s="207"/>
      <c r="D22" s="207"/>
      <c r="G22" s="209"/>
    </row>
    <row r="23" spans="1:7" x14ac:dyDescent="0.25">
      <c r="A23" t="s">
        <v>288</v>
      </c>
      <c r="C23" s="207"/>
      <c r="D23" s="207"/>
      <c r="G23" s="185"/>
    </row>
    <row r="24" spans="1:7" x14ac:dyDescent="0.25">
      <c r="A24" t="s">
        <v>289</v>
      </c>
      <c r="B24" t="s">
        <v>290</v>
      </c>
      <c r="C24" s="207" t="s">
        <v>242</v>
      </c>
      <c r="D24" s="207">
        <v>6</v>
      </c>
      <c r="E24" s="208">
        <v>15.551477602742272</v>
      </c>
      <c r="F24" s="208">
        <v>0.77590462521775061</v>
      </c>
      <c r="G24" s="209">
        <v>497.64728328775271</v>
      </c>
    </row>
    <row r="25" spans="1:7" x14ac:dyDescent="0.25">
      <c r="A25" t="s">
        <v>291</v>
      </c>
      <c r="C25" s="207"/>
      <c r="G25" s="209"/>
    </row>
    <row r="26" spans="1:7" x14ac:dyDescent="0.25">
      <c r="A26" t="s">
        <v>292</v>
      </c>
      <c r="B26" t="s">
        <v>293</v>
      </c>
      <c r="C26" s="207" t="s">
        <v>243</v>
      </c>
      <c r="D26" s="207">
        <v>6</v>
      </c>
      <c r="E26" s="208">
        <v>16.704098257402617</v>
      </c>
      <c r="F26" s="208">
        <v>0.8234882227874194</v>
      </c>
      <c r="G26" s="209">
        <v>534.53114423688373</v>
      </c>
    </row>
    <row r="27" spans="1:7" x14ac:dyDescent="0.25">
      <c r="A27" t="s">
        <v>294</v>
      </c>
      <c r="C27" s="207"/>
      <c r="G27" s="209"/>
    </row>
    <row r="28" spans="1:7" x14ac:dyDescent="0.25">
      <c r="A28" t="s">
        <v>295</v>
      </c>
      <c r="B28" t="s">
        <v>296</v>
      </c>
      <c r="C28" s="207" t="s">
        <v>244</v>
      </c>
      <c r="D28" s="207">
        <v>6</v>
      </c>
      <c r="E28" s="208">
        <v>15.18484015329102</v>
      </c>
      <c r="F28" s="208">
        <v>0.7556373781865201</v>
      </c>
      <c r="G28" s="209">
        <v>485.91488490531265</v>
      </c>
    </row>
    <row r="29" spans="1:7" x14ac:dyDescent="0.25">
      <c r="A29" t="s">
        <v>297</v>
      </c>
      <c r="B29" s="161"/>
      <c r="C29" s="207"/>
      <c r="D29" s="207"/>
      <c r="G29" s="209"/>
    </row>
    <row r="30" spans="1:7" x14ac:dyDescent="0.25">
      <c r="B30" s="161"/>
      <c r="C30" s="207"/>
      <c r="D30" s="207"/>
      <c r="G30" s="209"/>
    </row>
    <row r="31" spans="1:7" x14ac:dyDescent="0.25">
      <c r="A31" s="210" t="s">
        <v>298</v>
      </c>
    </row>
    <row r="32" spans="1:7" x14ac:dyDescent="0.25">
      <c r="A32" t="s">
        <v>299</v>
      </c>
    </row>
    <row r="33" spans="1:7" x14ac:dyDescent="0.25">
      <c r="A33" t="s">
        <v>300</v>
      </c>
      <c r="B33" t="s">
        <v>301</v>
      </c>
      <c r="C33" s="207" t="s">
        <v>242</v>
      </c>
      <c r="D33" s="207">
        <v>6</v>
      </c>
      <c r="E33" s="208">
        <v>52.751048383967102</v>
      </c>
      <c r="F33" s="208">
        <v>2.4439436996949664</v>
      </c>
      <c r="G33" s="209">
        <v>1688.0335482869473</v>
      </c>
    </row>
    <row r="34" spans="1:7" x14ac:dyDescent="0.25">
      <c r="A34" t="s">
        <v>302</v>
      </c>
      <c r="C34" s="207"/>
      <c r="D34" s="207"/>
      <c r="G34" s="209"/>
    </row>
    <row r="35" spans="1:7" x14ac:dyDescent="0.25">
      <c r="A35" t="s">
        <v>303</v>
      </c>
      <c r="B35" t="s">
        <v>304</v>
      </c>
      <c r="C35" s="207" t="s">
        <v>243</v>
      </c>
      <c r="D35" s="207">
        <v>6</v>
      </c>
      <c r="E35" s="208">
        <v>11.797028142503599</v>
      </c>
      <c r="F35" s="208">
        <v>0.75142605253302286</v>
      </c>
      <c r="G35" s="209">
        <v>377.50490056011517</v>
      </c>
    </row>
    <row r="36" spans="1:7" x14ac:dyDescent="0.25">
      <c r="A36" t="s">
        <v>305</v>
      </c>
      <c r="C36" s="207"/>
      <c r="D36" s="207"/>
      <c r="G36" s="209"/>
    </row>
    <row r="37" spans="1:7" x14ac:dyDescent="0.25">
      <c r="A37" t="s">
        <v>146</v>
      </c>
      <c r="B37" t="s">
        <v>306</v>
      </c>
      <c r="C37" s="207">
        <v>11</v>
      </c>
      <c r="D37" s="207">
        <v>3</v>
      </c>
      <c r="E37" s="208">
        <v>12.502215696388506</v>
      </c>
      <c r="F37" s="208">
        <v>0.87306496173521053</v>
      </c>
      <c r="G37" s="209">
        <v>800.14180456886436</v>
      </c>
    </row>
    <row r="38" spans="1:7" x14ac:dyDescent="0.25">
      <c r="A38" t="s">
        <v>307</v>
      </c>
      <c r="C38" s="207"/>
      <c r="D38" s="211"/>
    </row>
    <row r="39" spans="1:7" x14ac:dyDescent="0.25">
      <c r="C39" s="207"/>
    </row>
    <row r="40" spans="1:7" x14ac:dyDescent="0.25">
      <c r="C40" s="207"/>
    </row>
    <row r="43" spans="1:7" x14ac:dyDescent="0.25">
      <c r="C43" s="207"/>
    </row>
    <row r="44" spans="1:7" x14ac:dyDescent="0.25">
      <c r="C44" s="207"/>
    </row>
    <row r="47" spans="1:7" x14ac:dyDescent="0.25">
      <c r="C47" s="207"/>
    </row>
    <row r="48" spans="1:7" x14ac:dyDescent="0.25">
      <c r="C48" s="20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XFD1048576"/>
    </sheetView>
  </sheetViews>
  <sheetFormatPr baseColWidth="10" defaultColWidth="9.140625" defaultRowHeight="15" x14ac:dyDescent="0.25"/>
  <sheetData>
    <row r="1" spans="1:4" x14ac:dyDescent="0.25">
      <c r="A1" s="161" t="s">
        <v>232</v>
      </c>
      <c r="B1" t="s">
        <v>233</v>
      </c>
      <c r="C1" t="s">
        <v>234</v>
      </c>
      <c r="D1" t="s">
        <v>235</v>
      </c>
    </row>
    <row r="2" spans="1:4" x14ac:dyDescent="0.25">
      <c r="A2" s="161" t="s">
        <v>236</v>
      </c>
      <c r="C2" t="s">
        <v>237</v>
      </c>
      <c r="D2" t="s">
        <v>238</v>
      </c>
    </row>
    <row r="3" spans="1:4" x14ac:dyDescent="0.25">
      <c r="D3" t="s">
        <v>239</v>
      </c>
    </row>
    <row r="4" spans="1:4" x14ac:dyDescent="0.25">
      <c r="D4" t="s">
        <v>127</v>
      </c>
    </row>
    <row r="5" spans="1:4" x14ac:dyDescent="0.25">
      <c r="A5" s="161"/>
    </row>
    <row r="6" spans="1:4" x14ac:dyDescent="0.25">
      <c r="A6" s="161" t="s">
        <v>129</v>
      </c>
      <c r="B6" t="s">
        <v>240</v>
      </c>
      <c r="C6" s="162">
        <v>3</v>
      </c>
      <c r="D6" s="59">
        <v>2152.6366699950072</v>
      </c>
    </row>
    <row r="7" spans="1:4" x14ac:dyDescent="0.25">
      <c r="A7" s="106" t="s">
        <v>130</v>
      </c>
      <c r="B7" t="s">
        <v>240</v>
      </c>
      <c r="C7" s="162">
        <v>4</v>
      </c>
      <c r="D7" s="59">
        <v>2024.8315027458812</v>
      </c>
    </row>
    <row r="8" spans="1:4" x14ac:dyDescent="0.25">
      <c r="A8" s="106" t="s">
        <v>131</v>
      </c>
      <c r="B8" t="s">
        <v>240</v>
      </c>
      <c r="C8" s="162">
        <v>7</v>
      </c>
      <c r="D8" s="59">
        <v>664.38467299051422</v>
      </c>
    </row>
    <row r="9" spans="1:4" x14ac:dyDescent="0.25">
      <c r="A9" s="106" t="s">
        <v>132</v>
      </c>
      <c r="B9" t="s">
        <v>240</v>
      </c>
      <c r="C9" s="162">
        <v>8</v>
      </c>
      <c r="D9" s="59">
        <v>662.10996005991012</v>
      </c>
    </row>
    <row r="10" spans="1:4" x14ac:dyDescent="0.25">
      <c r="A10" s="106" t="s">
        <v>133</v>
      </c>
      <c r="B10" t="s">
        <v>240</v>
      </c>
      <c r="C10" s="162">
        <v>10</v>
      </c>
      <c r="D10" s="59">
        <v>1066.5033699450823</v>
      </c>
    </row>
    <row r="11" spans="1:4" x14ac:dyDescent="0.25">
      <c r="A11" s="106" t="s">
        <v>135</v>
      </c>
      <c r="B11" t="s">
        <v>241</v>
      </c>
      <c r="C11" s="162">
        <v>3</v>
      </c>
      <c r="D11" s="59">
        <v>54.508861707438832</v>
      </c>
    </row>
    <row r="12" spans="1:4" x14ac:dyDescent="0.25">
      <c r="A12" s="106" t="s">
        <v>136</v>
      </c>
      <c r="B12" t="s">
        <v>241</v>
      </c>
      <c r="C12" s="162">
        <v>4</v>
      </c>
      <c r="D12" s="59">
        <v>445.16974538192704</v>
      </c>
    </row>
    <row r="13" spans="1:4" x14ac:dyDescent="0.25">
      <c r="A13" s="106" t="s">
        <v>137</v>
      </c>
      <c r="B13" t="s">
        <v>241</v>
      </c>
      <c r="C13" s="162">
        <v>7</v>
      </c>
      <c r="D13" s="59">
        <v>588.64515726410377</v>
      </c>
    </row>
    <row r="14" spans="1:4" x14ac:dyDescent="0.25">
      <c r="A14" s="106" t="s">
        <v>138</v>
      </c>
      <c r="B14" t="s">
        <v>241</v>
      </c>
      <c r="C14" s="162">
        <v>8</v>
      </c>
      <c r="D14" s="59">
        <v>518.63454817773345</v>
      </c>
    </row>
    <row r="15" spans="1:4" x14ac:dyDescent="0.25">
      <c r="A15" s="106" t="s">
        <v>139</v>
      </c>
      <c r="B15" t="s">
        <v>241</v>
      </c>
      <c r="C15" s="162">
        <v>11</v>
      </c>
      <c r="D15" s="59">
        <v>680.22341487768358</v>
      </c>
    </row>
    <row r="16" spans="1:4" x14ac:dyDescent="0.25">
      <c r="A16" s="106" t="s">
        <v>140</v>
      </c>
      <c r="B16" t="s">
        <v>241</v>
      </c>
      <c r="C16" s="162">
        <v>12</v>
      </c>
      <c r="D16" s="59">
        <v>1377.8020469296057</v>
      </c>
    </row>
    <row r="17" spans="1:4" x14ac:dyDescent="0.25">
      <c r="A17" s="106" t="s">
        <v>141</v>
      </c>
      <c r="B17" t="s">
        <v>51</v>
      </c>
      <c r="C17" s="163" t="s">
        <v>242</v>
      </c>
      <c r="D17" s="59">
        <v>86.270594108836761</v>
      </c>
    </row>
    <row r="18" spans="1:4" x14ac:dyDescent="0.25">
      <c r="A18" s="106" t="s">
        <v>142</v>
      </c>
      <c r="B18" t="s">
        <v>51</v>
      </c>
      <c r="C18" s="163" t="s">
        <v>243</v>
      </c>
      <c r="D18" s="59">
        <v>88.124063904143796</v>
      </c>
    </row>
    <row r="19" spans="1:4" x14ac:dyDescent="0.25">
      <c r="A19" s="106" t="s">
        <v>143</v>
      </c>
      <c r="B19" t="s">
        <v>51</v>
      </c>
      <c r="C19" s="163" t="s">
        <v>244</v>
      </c>
      <c r="D19" s="59">
        <v>161.5888666999501</v>
      </c>
    </row>
    <row r="20" spans="1:4" x14ac:dyDescent="0.25">
      <c r="A20" s="106" t="s">
        <v>144</v>
      </c>
      <c r="B20" t="s">
        <v>245</v>
      </c>
      <c r="C20" s="163" t="s">
        <v>242</v>
      </c>
      <c r="D20" s="59">
        <v>496.8984023964054</v>
      </c>
    </row>
    <row r="21" spans="1:4" x14ac:dyDescent="0.25">
      <c r="A21" s="106" t="s">
        <v>145</v>
      </c>
      <c r="B21" t="s">
        <v>245</v>
      </c>
      <c r="C21" s="163" t="s">
        <v>243</v>
      </c>
      <c r="D21" s="59">
        <v>87.871318022965553</v>
      </c>
    </row>
    <row r="22" spans="1:4" x14ac:dyDescent="0.25">
      <c r="A22" s="106" t="s">
        <v>146</v>
      </c>
      <c r="B22" t="s">
        <v>245</v>
      </c>
      <c r="C22" s="162">
        <v>11</v>
      </c>
      <c r="D22" s="59">
        <v>83.406140788816785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TrapsTable1-Deployments</vt:lpstr>
      <vt:lpstr>TrapsTable2-Fluxes</vt:lpstr>
      <vt:lpstr>TrapsTable3-Comparisons</vt:lpstr>
      <vt:lpstr>DatafromDiana</vt:lpstr>
      <vt:lpstr>DatafromPier</vt:lpstr>
      <vt:lpstr>DatafromFred</vt:lpstr>
      <vt:lpstr>DatafromStevo</vt:lpstr>
      <vt:lpstr>'TrapsTable1-Deployments'!Zone_d_impression</vt:lpstr>
      <vt:lpstr>'TrapsTable2-Fluxes'!Zone_d_impression</vt:lpstr>
    </vt:vector>
  </TitlesOfParts>
  <Company>ITS-UTAS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tomt</dc:creator>
  <cp:lastModifiedBy>stephane</cp:lastModifiedBy>
  <cp:lastPrinted>2012-08-28T11:39:38Z</cp:lastPrinted>
  <dcterms:created xsi:type="dcterms:W3CDTF">2012-08-28T11:36:59Z</dcterms:created>
  <dcterms:modified xsi:type="dcterms:W3CDTF">2015-12-08T14:37:43Z</dcterms:modified>
</cp:coreProperties>
</file>