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ferland/Documents/Lab_Bioreacteur/GreenEdge/2016/MEtadata/"/>
    </mc:Choice>
  </mc:AlternateContent>
  <bookViews>
    <workbookView xWindow="20120" yWindow="1060" windowWidth="24760" windowHeight="21280" tabRatio="500"/>
  </bookViews>
  <sheets>
    <sheet name="Dilution factor" sheetId="1" r:id="rId1"/>
    <sheet name="Read Me" sheetId="2" r:id="rId2"/>
  </sheets>
  <definedNames>
    <definedName name="_xlnm._FilterDatabase" localSheetId="0" hidden="1">'Dilution factor'!$F$1:$F$147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" i="1" l="1"/>
  <c r="Q2" i="1"/>
  <c r="E52" i="1"/>
  <c r="D52" i="1"/>
  <c r="E51" i="1"/>
  <c r="D51" i="1"/>
  <c r="P147" i="1"/>
  <c r="Q147" i="1"/>
  <c r="P142" i="1"/>
  <c r="Q142" i="1"/>
  <c r="P137" i="1"/>
  <c r="Q137" i="1"/>
  <c r="P132" i="1"/>
  <c r="Q132" i="1"/>
  <c r="P127" i="1"/>
  <c r="Q127" i="1"/>
  <c r="P122" i="1"/>
  <c r="Q122" i="1"/>
  <c r="P117" i="1"/>
  <c r="Q117" i="1"/>
  <c r="P112" i="1"/>
  <c r="Q112" i="1"/>
  <c r="P107" i="1"/>
  <c r="Q107" i="1"/>
  <c r="P102" i="1"/>
  <c r="Q102" i="1"/>
  <c r="P97" i="1"/>
  <c r="Q97" i="1"/>
  <c r="P92" i="1"/>
  <c r="Q92" i="1"/>
  <c r="P87" i="1"/>
  <c r="Q87" i="1"/>
  <c r="P82" i="1"/>
  <c r="Q82" i="1"/>
  <c r="P77" i="1"/>
  <c r="Q77" i="1"/>
  <c r="P72" i="1"/>
  <c r="Q72" i="1"/>
  <c r="P67" i="1"/>
  <c r="Q67" i="1"/>
  <c r="P62" i="1"/>
  <c r="Q62" i="1"/>
  <c r="P57" i="1"/>
  <c r="Q57" i="1"/>
  <c r="P52" i="1"/>
  <c r="Q52" i="1"/>
  <c r="P47" i="1"/>
  <c r="Q47" i="1"/>
  <c r="P42" i="1"/>
  <c r="Q42" i="1"/>
  <c r="P36" i="1"/>
  <c r="Q36" i="1"/>
  <c r="P30" i="1"/>
  <c r="Q30" i="1"/>
  <c r="P146" i="1"/>
  <c r="Q146" i="1"/>
  <c r="P141" i="1"/>
  <c r="Q141" i="1"/>
  <c r="P136" i="1"/>
  <c r="Q136" i="1"/>
  <c r="P131" i="1"/>
  <c r="Q131" i="1"/>
  <c r="P126" i="1"/>
  <c r="Q126" i="1"/>
  <c r="P121" i="1"/>
  <c r="Q121" i="1"/>
  <c r="P116" i="1"/>
  <c r="Q116" i="1"/>
  <c r="P111" i="1"/>
  <c r="Q111" i="1"/>
  <c r="P106" i="1"/>
  <c r="Q106" i="1"/>
  <c r="P101" i="1"/>
  <c r="Q101" i="1"/>
  <c r="P96" i="1"/>
  <c r="Q96" i="1"/>
  <c r="P91" i="1"/>
  <c r="Q91" i="1"/>
  <c r="P86" i="1"/>
  <c r="Q86" i="1"/>
  <c r="P81" i="1"/>
  <c r="Q81" i="1"/>
  <c r="P76" i="1"/>
  <c r="Q76" i="1"/>
  <c r="P71" i="1"/>
  <c r="Q71" i="1"/>
  <c r="P66" i="1"/>
  <c r="Q66" i="1"/>
  <c r="P61" i="1"/>
  <c r="Q61" i="1"/>
  <c r="P56" i="1"/>
  <c r="Q56" i="1"/>
  <c r="P51" i="1"/>
  <c r="Q51" i="1"/>
  <c r="P46" i="1"/>
  <c r="Q46" i="1"/>
  <c r="P41" i="1"/>
  <c r="Q41" i="1"/>
  <c r="P35" i="1"/>
  <c r="Q35" i="1"/>
  <c r="P29" i="1"/>
  <c r="Q29" i="1"/>
  <c r="J147" i="1"/>
  <c r="J142" i="1"/>
  <c r="J137" i="1"/>
  <c r="J132" i="1"/>
  <c r="J127" i="1"/>
  <c r="J122" i="1"/>
  <c r="J117" i="1"/>
  <c r="J112" i="1"/>
  <c r="J107" i="1"/>
  <c r="J102" i="1"/>
  <c r="J97" i="1"/>
  <c r="J92" i="1"/>
  <c r="J87" i="1"/>
  <c r="J82" i="1"/>
  <c r="J77" i="1"/>
  <c r="J72" i="1"/>
  <c r="J67" i="1"/>
  <c r="J62" i="1"/>
  <c r="J57" i="1"/>
  <c r="J52" i="1"/>
  <c r="J47" i="1"/>
  <c r="J42" i="1"/>
  <c r="J36" i="1"/>
  <c r="J30" i="1"/>
  <c r="J146" i="1"/>
  <c r="J141" i="1"/>
  <c r="J136" i="1"/>
  <c r="J131" i="1"/>
  <c r="J126" i="1"/>
  <c r="J121" i="1"/>
  <c r="J116" i="1"/>
  <c r="J111" i="1"/>
  <c r="J106" i="1"/>
  <c r="J101" i="1"/>
  <c r="J96" i="1"/>
  <c r="J91" i="1"/>
  <c r="J86" i="1"/>
  <c r="J81" i="1"/>
  <c r="J76" i="1"/>
  <c r="J71" i="1"/>
  <c r="J66" i="1"/>
  <c r="J61" i="1"/>
  <c r="J56" i="1"/>
  <c r="J51" i="1"/>
  <c r="J46" i="1"/>
  <c r="J41" i="1"/>
  <c r="J35" i="1"/>
  <c r="J29" i="1"/>
  <c r="E30" i="1"/>
  <c r="D30" i="1"/>
  <c r="E29" i="1"/>
  <c r="D29" i="1"/>
  <c r="P7" i="1"/>
  <c r="Q7" i="1"/>
  <c r="M7" i="1"/>
  <c r="E7" i="1"/>
  <c r="D7" i="1"/>
  <c r="B7" i="1"/>
  <c r="P3" i="1"/>
  <c r="Q3" i="1"/>
  <c r="P4" i="1"/>
  <c r="Q4" i="1"/>
  <c r="P5" i="1"/>
  <c r="Q5" i="1"/>
  <c r="P6" i="1"/>
  <c r="Q6" i="1"/>
  <c r="P8" i="1"/>
  <c r="Q8" i="1"/>
  <c r="P9" i="1"/>
  <c r="Q9" i="1"/>
  <c r="P10" i="1"/>
  <c r="Q10" i="1"/>
  <c r="P11" i="1"/>
  <c r="Q11" i="1"/>
  <c r="P12" i="1"/>
  <c r="Q12" i="1"/>
  <c r="P15" i="1"/>
  <c r="Q15" i="1"/>
  <c r="P19" i="1"/>
  <c r="Q19" i="1"/>
  <c r="P25" i="1"/>
  <c r="Q25" i="1"/>
  <c r="P31" i="1"/>
  <c r="Q31" i="1"/>
  <c r="P37" i="1"/>
  <c r="Q37" i="1"/>
  <c r="P48" i="1"/>
  <c r="Q48" i="1"/>
  <c r="P13" i="1"/>
  <c r="Q13" i="1"/>
  <c r="P14" i="1"/>
  <c r="Q14" i="1"/>
  <c r="P16" i="1"/>
  <c r="Q16" i="1"/>
  <c r="P17" i="1"/>
  <c r="Q17" i="1"/>
  <c r="P18" i="1"/>
  <c r="Q18" i="1"/>
  <c r="P20" i="1"/>
  <c r="Q20" i="1"/>
  <c r="P21" i="1"/>
  <c r="Q21" i="1"/>
  <c r="P22" i="1"/>
  <c r="Q22" i="1"/>
  <c r="P23" i="1"/>
  <c r="Q23" i="1"/>
  <c r="P24" i="1"/>
  <c r="Q24" i="1"/>
  <c r="P26" i="1"/>
  <c r="Q26" i="1"/>
  <c r="P27" i="1"/>
  <c r="Q27" i="1"/>
  <c r="P28" i="1"/>
  <c r="Q28" i="1"/>
  <c r="P32" i="1"/>
  <c r="Q32" i="1"/>
  <c r="P33" i="1"/>
  <c r="Q33" i="1"/>
  <c r="P34" i="1"/>
  <c r="Q34" i="1"/>
  <c r="P38" i="1"/>
  <c r="Q38" i="1"/>
  <c r="P39" i="1"/>
  <c r="Q39" i="1"/>
  <c r="P40" i="1"/>
  <c r="Q40" i="1"/>
  <c r="P43" i="1"/>
  <c r="Q43" i="1"/>
  <c r="P44" i="1"/>
  <c r="Q44" i="1"/>
  <c r="P45" i="1"/>
  <c r="Q45" i="1"/>
  <c r="P49" i="1"/>
  <c r="Q49" i="1"/>
  <c r="P50" i="1"/>
  <c r="Q50" i="1"/>
  <c r="P53" i="1"/>
  <c r="Q53" i="1"/>
  <c r="P54" i="1"/>
  <c r="Q54" i="1"/>
  <c r="P55" i="1"/>
  <c r="Q55" i="1"/>
  <c r="P58" i="1"/>
  <c r="Q58" i="1"/>
  <c r="P59" i="1"/>
  <c r="Q59" i="1"/>
  <c r="P60" i="1"/>
  <c r="Q60" i="1"/>
  <c r="P63" i="1"/>
  <c r="Q63" i="1"/>
  <c r="P64" i="1"/>
  <c r="Q64" i="1"/>
  <c r="P65" i="1"/>
  <c r="Q65" i="1"/>
  <c r="P68" i="1"/>
  <c r="Q68" i="1"/>
  <c r="P69" i="1"/>
  <c r="Q69" i="1"/>
  <c r="P70" i="1"/>
  <c r="Q70" i="1"/>
  <c r="P73" i="1"/>
  <c r="Q73" i="1"/>
  <c r="P74" i="1"/>
  <c r="Q74" i="1"/>
  <c r="P75" i="1"/>
  <c r="Q75" i="1"/>
  <c r="P78" i="1"/>
  <c r="Q78" i="1"/>
  <c r="P79" i="1"/>
  <c r="Q79" i="1"/>
  <c r="P80" i="1"/>
  <c r="Q80" i="1"/>
  <c r="P83" i="1"/>
  <c r="Q83" i="1"/>
  <c r="P84" i="1"/>
  <c r="Q84" i="1"/>
  <c r="P85" i="1"/>
  <c r="Q85" i="1"/>
  <c r="P88" i="1"/>
  <c r="Q88" i="1"/>
  <c r="P89" i="1"/>
  <c r="Q89" i="1"/>
  <c r="P90" i="1"/>
  <c r="Q90" i="1"/>
  <c r="P93" i="1"/>
  <c r="Q93" i="1"/>
  <c r="P94" i="1"/>
  <c r="Q94" i="1"/>
  <c r="P95" i="1"/>
  <c r="Q95" i="1"/>
  <c r="P98" i="1"/>
  <c r="Q98" i="1"/>
  <c r="P99" i="1"/>
  <c r="Q99" i="1"/>
  <c r="P100" i="1"/>
  <c r="Q100" i="1"/>
  <c r="P103" i="1"/>
  <c r="Q103" i="1"/>
  <c r="P104" i="1"/>
  <c r="Q104" i="1"/>
  <c r="P105" i="1"/>
  <c r="Q105" i="1"/>
  <c r="P108" i="1"/>
  <c r="Q108" i="1"/>
  <c r="P109" i="1"/>
  <c r="Q109" i="1"/>
  <c r="P110" i="1"/>
  <c r="Q110" i="1"/>
  <c r="P113" i="1"/>
  <c r="Q113" i="1"/>
  <c r="P114" i="1"/>
  <c r="Q114" i="1"/>
  <c r="P115" i="1"/>
  <c r="Q115" i="1"/>
  <c r="P118" i="1"/>
  <c r="Q118" i="1"/>
  <c r="P119" i="1"/>
  <c r="Q119" i="1"/>
  <c r="P120" i="1"/>
  <c r="Q120" i="1"/>
  <c r="P123" i="1"/>
  <c r="Q123" i="1"/>
  <c r="P124" i="1"/>
  <c r="Q124" i="1"/>
  <c r="P125" i="1"/>
  <c r="Q125" i="1"/>
  <c r="P128" i="1"/>
  <c r="Q128" i="1"/>
  <c r="P129" i="1"/>
  <c r="Q129" i="1"/>
  <c r="P130" i="1"/>
  <c r="Q130" i="1"/>
  <c r="P133" i="1"/>
  <c r="Q133" i="1"/>
  <c r="P134" i="1"/>
  <c r="Q134" i="1"/>
  <c r="P135" i="1"/>
  <c r="Q135" i="1"/>
  <c r="P138" i="1"/>
  <c r="Q138" i="1"/>
  <c r="P139" i="1"/>
  <c r="Q139" i="1"/>
  <c r="P140" i="1"/>
  <c r="Q140" i="1"/>
  <c r="P143" i="1"/>
  <c r="Q143" i="1"/>
  <c r="P144" i="1"/>
  <c r="Q144" i="1"/>
  <c r="P145" i="1"/>
  <c r="Q145" i="1"/>
  <c r="M145" i="1"/>
  <c r="E145" i="1"/>
  <c r="D145" i="1"/>
  <c r="B145" i="1"/>
  <c r="M144" i="1"/>
  <c r="E144" i="1"/>
  <c r="D144" i="1"/>
  <c r="B144" i="1"/>
  <c r="M143" i="1"/>
  <c r="J143" i="1"/>
  <c r="E143" i="1"/>
  <c r="D143" i="1"/>
  <c r="B143" i="1"/>
  <c r="M140" i="1"/>
  <c r="E140" i="1"/>
  <c r="D140" i="1"/>
  <c r="B140" i="1"/>
  <c r="M139" i="1"/>
  <c r="E139" i="1"/>
  <c r="D139" i="1"/>
  <c r="B139" i="1"/>
  <c r="M138" i="1"/>
  <c r="J138" i="1"/>
  <c r="E138" i="1"/>
  <c r="D138" i="1"/>
  <c r="B138" i="1"/>
  <c r="M135" i="1"/>
  <c r="E135" i="1"/>
  <c r="D135" i="1"/>
  <c r="B135" i="1"/>
  <c r="M134" i="1"/>
  <c r="E134" i="1"/>
  <c r="D134" i="1"/>
  <c r="B134" i="1"/>
  <c r="M133" i="1"/>
  <c r="J133" i="1"/>
  <c r="E133" i="1"/>
  <c r="D133" i="1"/>
  <c r="B133" i="1"/>
  <c r="M130" i="1"/>
  <c r="E130" i="1"/>
  <c r="D130" i="1"/>
  <c r="B130" i="1"/>
  <c r="M129" i="1"/>
  <c r="E129" i="1"/>
  <c r="D129" i="1"/>
  <c r="B129" i="1"/>
  <c r="M128" i="1"/>
  <c r="J128" i="1"/>
  <c r="E128" i="1"/>
  <c r="D128" i="1"/>
  <c r="B128" i="1"/>
  <c r="M125" i="1"/>
  <c r="E125" i="1"/>
  <c r="D125" i="1"/>
  <c r="B125" i="1"/>
  <c r="M124" i="1"/>
  <c r="E124" i="1"/>
  <c r="D124" i="1"/>
  <c r="B124" i="1"/>
  <c r="M123" i="1"/>
  <c r="J123" i="1"/>
  <c r="E123" i="1"/>
  <c r="D123" i="1"/>
  <c r="B123" i="1"/>
  <c r="M120" i="1"/>
  <c r="E120" i="1"/>
  <c r="D120" i="1"/>
  <c r="B120" i="1"/>
  <c r="M119" i="1"/>
  <c r="E119" i="1"/>
  <c r="D119" i="1"/>
  <c r="B119" i="1"/>
  <c r="M118" i="1"/>
  <c r="J118" i="1"/>
  <c r="E118" i="1"/>
  <c r="D118" i="1"/>
  <c r="B118" i="1"/>
  <c r="M115" i="1"/>
  <c r="E115" i="1"/>
  <c r="D115" i="1"/>
  <c r="B115" i="1"/>
  <c r="M114" i="1"/>
  <c r="E114" i="1"/>
  <c r="D114" i="1"/>
  <c r="B114" i="1"/>
  <c r="M113" i="1"/>
  <c r="J113" i="1"/>
  <c r="E113" i="1"/>
  <c r="D113" i="1"/>
  <c r="B113" i="1"/>
  <c r="M110" i="1"/>
  <c r="E110" i="1"/>
  <c r="D110" i="1"/>
  <c r="B110" i="1"/>
  <c r="M109" i="1"/>
  <c r="E109" i="1"/>
  <c r="D109" i="1"/>
  <c r="B109" i="1"/>
  <c r="M108" i="1"/>
  <c r="J108" i="1"/>
  <c r="E108" i="1"/>
  <c r="D108" i="1"/>
  <c r="B108" i="1"/>
  <c r="M105" i="1"/>
  <c r="E105" i="1"/>
  <c r="D105" i="1"/>
  <c r="B105" i="1"/>
  <c r="M104" i="1"/>
  <c r="E104" i="1"/>
  <c r="D104" i="1"/>
  <c r="B104" i="1"/>
  <c r="M103" i="1"/>
  <c r="J103" i="1"/>
  <c r="E103" i="1"/>
  <c r="D103" i="1"/>
  <c r="B103" i="1"/>
  <c r="M100" i="1"/>
  <c r="E100" i="1"/>
  <c r="D100" i="1"/>
  <c r="B100" i="1"/>
  <c r="M99" i="1"/>
  <c r="E99" i="1"/>
  <c r="D99" i="1"/>
  <c r="B99" i="1"/>
  <c r="M98" i="1"/>
  <c r="J98" i="1"/>
  <c r="E98" i="1"/>
  <c r="D98" i="1"/>
  <c r="B98" i="1"/>
  <c r="M95" i="1"/>
  <c r="E95" i="1"/>
  <c r="D95" i="1"/>
  <c r="B95" i="1"/>
  <c r="M94" i="1"/>
  <c r="E94" i="1"/>
  <c r="D94" i="1"/>
  <c r="B94" i="1"/>
  <c r="M93" i="1"/>
  <c r="J93" i="1"/>
  <c r="E93" i="1"/>
  <c r="D93" i="1"/>
  <c r="B93" i="1"/>
  <c r="M90" i="1"/>
  <c r="E90" i="1"/>
  <c r="D90" i="1"/>
  <c r="B90" i="1"/>
  <c r="M89" i="1"/>
  <c r="E89" i="1"/>
  <c r="D89" i="1"/>
  <c r="B89" i="1"/>
  <c r="M88" i="1"/>
  <c r="J88" i="1"/>
  <c r="E88" i="1"/>
  <c r="D88" i="1"/>
  <c r="B88" i="1"/>
  <c r="M85" i="1"/>
  <c r="E85" i="1"/>
  <c r="D85" i="1"/>
  <c r="B85" i="1"/>
  <c r="M84" i="1"/>
  <c r="E84" i="1"/>
  <c r="D84" i="1"/>
  <c r="B84" i="1"/>
  <c r="M83" i="1"/>
  <c r="J83" i="1"/>
  <c r="E83" i="1"/>
  <c r="D83" i="1"/>
  <c r="B83" i="1"/>
  <c r="M80" i="1"/>
  <c r="E80" i="1"/>
  <c r="D80" i="1"/>
  <c r="B80" i="1"/>
  <c r="M79" i="1"/>
  <c r="E79" i="1"/>
  <c r="D79" i="1"/>
  <c r="B79" i="1"/>
  <c r="M78" i="1"/>
  <c r="J78" i="1"/>
  <c r="E78" i="1"/>
  <c r="D78" i="1"/>
  <c r="B78" i="1"/>
  <c r="M75" i="1"/>
  <c r="E75" i="1"/>
  <c r="D75" i="1"/>
  <c r="B75" i="1"/>
  <c r="M74" i="1"/>
  <c r="E74" i="1"/>
  <c r="D74" i="1"/>
  <c r="B74" i="1"/>
  <c r="M73" i="1"/>
  <c r="J73" i="1"/>
  <c r="E73" i="1"/>
  <c r="D73" i="1"/>
  <c r="B73" i="1"/>
  <c r="M70" i="1"/>
  <c r="E70" i="1"/>
  <c r="D70" i="1"/>
  <c r="B70" i="1"/>
  <c r="M69" i="1"/>
  <c r="E69" i="1"/>
  <c r="D69" i="1"/>
  <c r="B69" i="1"/>
  <c r="M68" i="1"/>
  <c r="J68" i="1"/>
  <c r="E68" i="1"/>
  <c r="D68" i="1"/>
  <c r="B68" i="1"/>
  <c r="M65" i="1"/>
  <c r="E65" i="1"/>
  <c r="D65" i="1"/>
  <c r="B65" i="1"/>
  <c r="M64" i="1"/>
  <c r="E64" i="1"/>
  <c r="D64" i="1"/>
  <c r="B64" i="1"/>
  <c r="M63" i="1"/>
  <c r="J63" i="1"/>
  <c r="E63" i="1"/>
  <c r="D63" i="1"/>
  <c r="B63" i="1"/>
  <c r="M60" i="1"/>
  <c r="E60" i="1"/>
  <c r="D60" i="1"/>
  <c r="B60" i="1"/>
  <c r="M59" i="1"/>
  <c r="E59" i="1"/>
  <c r="D59" i="1"/>
  <c r="B59" i="1"/>
  <c r="M58" i="1"/>
  <c r="J58" i="1"/>
  <c r="E58" i="1"/>
  <c r="D58" i="1"/>
  <c r="B58" i="1"/>
  <c r="M55" i="1"/>
  <c r="E55" i="1"/>
  <c r="D55" i="1"/>
  <c r="B55" i="1"/>
  <c r="M54" i="1"/>
  <c r="E54" i="1"/>
  <c r="D54" i="1"/>
  <c r="B54" i="1"/>
  <c r="M53" i="1"/>
  <c r="E53" i="1"/>
  <c r="D53" i="1"/>
  <c r="B53" i="1"/>
  <c r="M50" i="1"/>
  <c r="E50" i="1"/>
  <c r="D50" i="1"/>
  <c r="B50" i="1"/>
  <c r="M49" i="1"/>
  <c r="E49" i="1"/>
  <c r="D49" i="1"/>
  <c r="B49" i="1"/>
  <c r="M45" i="1"/>
  <c r="E45" i="1"/>
  <c r="D45" i="1"/>
  <c r="B45" i="1"/>
  <c r="M44" i="1"/>
  <c r="E44" i="1"/>
  <c r="D44" i="1"/>
  <c r="B44" i="1"/>
  <c r="M43" i="1"/>
  <c r="E43" i="1"/>
  <c r="D43" i="1"/>
  <c r="B43" i="1"/>
  <c r="M40" i="1"/>
  <c r="E40" i="1"/>
  <c r="D40" i="1"/>
  <c r="B40" i="1"/>
  <c r="M39" i="1"/>
  <c r="E39" i="1"/>
  <c r="D39" i="1"/>
  <c r="B39" i="1"/>
  <c r="M38" i="1"/>
  <c r="E38" i="1"/>
  <c r="D38" i="1"/>
  <c r="B38" i="1"/>
  <c r="M34" i="1"/>
  <c r="E34" i="1"/>
  <c r="D34" i="1"/>
  <c r="B34" i="1"/>
  <c r="M33" i="1"/>
  <c r="E33" i="1"/>
  <c r="D33" i="1"/>
  <c r="B33" i="1"/>
  <c r="M32" i="1"/>
  <c r="E32" i="1"/>
  <c r="D32" i="1"/>
  <c r="B32" i="1"/>
  <c r="M28" i="1"/>
  <c r="E28" i="1"/>
  <c r="D28" i="1"/>
  <c r="B28" i="1"/>
  <c r="M27" i="1"/>
  <c r="E27" i="1"/>
  <c r="D27" i="1"/>
  <c r="B27" i="1"/>
  <c r="M26" i="1"/>
  <c r="E26" i="1"/>
  <c r="D26" i="1"/>
  <c r="B26" i="1"/>
  <c r="M24" i="1"/>
  <c r="E24" i="1"/>
  <c r="D24" i="1"/>
  <c r="B24" i="1"/>
  <c r="M23" i="1"/>
  <c r="E23" i="1"/>
  <c r="D23" i="1"/>
  <c r="B23" i="1"/>
  <c r="M22" i="1"/>
  <c r="E22" i="1"/>
  <c r="D22" i="1"/>
  <c r="B22" i="1"/>
  <c r="M21" i="1"/>
  <c r="E21" i="1"/>
  <c r="D21" i="1"/>
  <c r="B21" i="1"/>
  <c r="M20" i="1"/>
  <c r="B20" i="1"/>
  <c r="M18" i="1"/>
  <c r="E18" i="1"/>
  <c r="D18" i="1"/>
  <c r="B18" i="1"/>
  <c r="M17" i="1"/>
  <c r="E17" i="1"/>
  <c r="D17" i="1"/>
  <c r="B17" i="1"/>
  <c r="M16" i="1"/>
  <c r="E16" i="1"/>
  <c r="D16" i="1"/>
  <c r="B16" i="1"/>
  <c r="M14" i="1"/>
  <c r="E14" i="1"/>
  <c r="D14" i="1"/>
  <c r="B14" i="1"/>
  <c r="M13" i="1"/>
  <c r="E13" i="1"/>
  <c r="D13" i="1"/>
  <c r="B13" i="1"/>
  <c r="J48" i="1"/>
  <c r="E48" i="1"/>
  <c r="D48" i="1"/>
  <c r="B48" i="1"/>
  <c r="M37" i="1"/>
  <c r="E37" i="1"/>
  <c r="D37" i="1"/>
  <c r="B37" i="1"/>
  <c r="M31" i="1"/>
  <c r="E31" i="1"/>
  <c r="D31" i="1"/>
  <c r="B31" i="1"/>
  <c r="M25" i="1"/>
  <c r="E25" i="1"/>
  <c r="D25" i="1"/>
  <c r="B25" i="1"/>
  <c r="M19" i="1"/>
  <c r="M15" i="1"/>
  <c r="E15" i="1"/>
  <c r="D15" i="1"/>
  <c r="B15" i="1"/>
  <c r="M12" i="1"/>
  <c r="E12" i="1"/>
  <c r="D12" i="1"/>
  <c r="B12" i="1"/>
  <c r="M11" i="1"/>
  <c r="E11" i="1"/>
  <c r="D11" i="1"/>
  <c r="B11" i="1"/>
  <c r="M10" i="1"/>
  <c r="E10" i="1"/>
  <c r="D10" i="1"/>
  <c r="B10" i="1"/>
  <c r="M9" i="1"/>
  <c r="E9" i="1"/>
  <c r="D9" i="1"/>
  <c r="B9" i="1"/>
  <c r="M8" i="1"/>
  <c r="E8" i="1"/>
  <c r="D8" i="1"/>
  <c r="B8" i="1"/>
  <c r="M6" i="1"/>
  <c r="E6" i="1"/>
  <c r="D6" i="1"/>
  <c r="B6" i="1"/>
  <c r="M5" i="1"/>
  <c r="E5" i="1"/>
  <c r="D5" i="1"/>
  <c r="B5" i="1"/>
  <c r="M4" i="1"/>
  <c r="E4" i="1"/>
  <c r="D4" i="1"/>
  <c r="B4" i="1"/>
  <c r="M3" i="1"/>
  <c r="E3" i="1"/>
  <c r="D3" i="1"/>
  <c r="B3" i="1"/>
  <c r="M2" i="1"/>
  <c r="E2" i="1"/>
  <c r="D2" i="1"/>
  <c r="B2" i="1"/>
</calcChain>
</file>

<file path=xl/comments1.xml><?xml version="1.0" encoding="utf-8"?>
<comments xmlns="http://schemas.openxmlformats.org/spreadsheetml/2006/main">
  <authors>
    <author>Joannie Ferland</author>
  </authors>
  <commentList>
    <comment ref="G1" authorId="0">
      <text>
        <r>
          <rPr>
            <b/>
            <sz val="9"/>
            <color indexed="81"/>
            <rFont val="Calibri"/>
            <family val="2"/>
          </rPr>
          <t>Joannie Ferland:</t>
        </r>
        <r>
          <rPr>
            <sz val="9"/>
            <color indexed="81"/>
            <rFont val="Calibri"/>
            <family val="2"/>
          </rPr>
          <t xml:space="preserve">
Zero means underice</t>
        </r>
      </text>
    </comment>
  </commentList>
</comments>
</file>

<file path=xl/sharedStrings.xml><?xml version="1.0" encoding="utf-8"?>
<sst xmlns="http://schemas.openxmlformats.org/spreadsheetml/2006/main" count="457" uniqueCount="29">
  <si>
    <t>Data</t>
  </si>
  <si>
    <t>Date (yyyy-mm-dd)</t>
  </si>
  <si>
    <t>Julian sampling Day</t>
  </si>
  <si>
    <t>Lat (N)</t>
  </si>
  <si>
    <t>Long (W)</t>
  </si>
  <si>
    <t>Water or  Ice</t>
  </si>
  <si>
    <t>Depth (m)</t>
  </si>
  <si>
    <t>Ice core diameter (m)</t>
  </si>
  <si>
    <t>ice core surface (m2)</t>
  </si>
  <si>
    <t>Number of ice core (14cm)</t>
  </si>
  <si>
    <t>FSW added (mL)</t>
  </si>
  <si>
    <t>Total vol after melt (mL)</t>
  </si>
  <si>
    <t>Vol melted ice</t>
  </si>
  <si>
    <t>Dilution factor FSW</t>
  </si>
  <si>
    <t>GE2016- ICECAMP</t>
  </si>
  <si>
    <t>ice</t>
  </si>
  <si>
    <t>0-3cm (HS)</t>
  </si>
  <si>
    <t>3-10cm (HS)</t>
  </si>
  <si>
    <t>physio</t>
  </si>
  <si>
    <t>0-1cm (HS)</t>
  </si>
  <si>
    <t>0-3cm (LS)</t>
  </si>
  <si>
    <t>3-10cm (LS)</t>
  </si>
  <si>
    <t>0-3cm</t>
  </si>
  <si>
    <t>3-10cm</t>
  </si>
  <si>
    <t>0-1cm</t>
  </si>
  <si>
    <t>nutrient</t>
  </si>
  <si>
    <t>Only for nutrients mesaurement on the section 0-3 and 3-10cm, ice cores were melted in artificial seawater created from pre-burned NaCl (5hours, 450 C) and MilliQ pure water (2016 only)</t>
  </si>
  <si>
    <t>Ice cores were diluted in natural filtrated seawater collected beneath the ice or 1,5m and filtrated on a 0.2um mesh the same day of the day before</t>
  </si>
  <si>
    <t>Number of ice core (9cm)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</si>
</sst>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5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4" fontId="1" fillId="0" borderId="1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/>
    <xf numFmtId="0" fontId="3" fillId="4" borderId="0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2" fontId="0" fillId="4" borderId="0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 applyAlignment="1">
      <alignment horizontal="center"/>
    </xf>
    <xf numFmtId="0" fontId="3" fillId="5" borderId="0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5" borderId="0" xfId="0" applyFont="1" applyFill="1" applyAlignment="1">
      <alignment horizontal="center"/>
    </xf>
    <xf numFmtId="0" fontId="0" fillId="5" borderId="0" xfId="0" applyFill="1" applyBorder="1" applyAlignment="1">
      <alignment horizontal="center"/>
    </xf>
    <xf numFmtId="2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tabSelected="1" workbookViewId="0">
      <selection activeCell="Q48" sqref="Q48"/>
    </sheetView>
  </sheetViews>
  <sheetFormatPr baseColWidth="10" defaultRowHeight="16" x14ac:dyDescent="0.2"/>
  <cols>
    <col min="1" max="1" width="16.83203125" bestFit="1" customWidth="1"/>
    <col min="2" max="2" width="16.83203125" style="15" bestFit="1" customWidth="1"/>
    <col min="3" max="6" width="12.6640625" bestFit="1" customWidth="1"/>
    <col min="10" max="10" width="7.5" style="19" customWidth="1"/>
    <col min="13" max="13" width="7.5" style="19" customWidth="1"/>
    <col min="14" max="17" width="10.83203125" style="14"/>
  </cols>
  <sheetData>
    <row r="1" spans="1:17" ht="49" thickBo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28</v>
      </c>
      <c r="I1" s="5" t="s">
        <v>7</v>
      </c>
      <c r="J1" s="16" t="s">
        <v>8</v>
      </c>
      <c r="K1" s="4" t="s">
        <v>9</v>
      </c>
      <c r="L1" s="5" t="s">
        <v>7</v>
      </c>
      <c r="M1" s="16" t="s">
        <v>8</v>
      </c>
      <c r="N1" s="4" t="s">
        <v>10</v>
      </c>
      <c r="O1" s="4" t="s">
        <v>11</v>
      </c>
      <c r="P1" s="3" t="s">
        <v>12</v>
      </c>
      <c r="Q1" s="5" t="s">
        <v>13</v>
      </c>
    </row>
    <row r="2" spans="1:17" ht="17" thickTop="1" x14ac:dyDescent="0.2">
      <c r="A2" s="6" t="s">
        <v>14</v>
      </c>
      <c r="B2" s="7">
        <f>DATE(2016, 5,2)</f>
        <v>42492</v>
      </c>
      <c r="C2" s="6">
        <v>2016123</v>
      </c>
      <c r="D2" s="6">
        <f>67+(28.754/60)</f>
        <v>67.47923333333334</v>
      </c>
      <c r="E2" s="6">
        <f>-(63+(47.352/60))</f>
        <v>-63.789200000000001</v>
      </c>
      <c r="F2" s="6" t="s">
        <v>15</v>
      </c>
      <c r="G2" s="6" t="s">
        <v>16</v>
      </c>
      <c r="H2" s="6"/>
      <c r="I2" s="6"/>
      <c r="J2" s="17"/>
      <c r="K2" s="6">
        <v>2</v>
      </c>
      <c r="L2" s="6">
        <v>0.14000000000000001</v>
      </c>
      <c r="M2" s="17">
        <f t="shared" ref="M2:M28" si="0">PI()*(L2/2)^2</f>
        <v>1.5393804002589988E-2</v>
      </c>
      <c r="N2" s="8">
        <v>2600</v>
      </c>
      <c r="O2" s="8">
        <v>3700</v>
      </c>
      <c r="P2" s="9">
        <f t="shared" ref="P2:P33" si="1">O2-N2</f>
        <v>1100</v>
      </c>
      <c r="Q2" s="10">
        <f>O2/P2</f>
        <v>3.3636363636363638</v>
      </c>
    </row>
    <row r="3" spans="1:17" x14ac:dyDescent="0.2">
      <c r="A3" s="6" t="s">
        <v>14</v>
      </c>
      <c r="B3" s="7">
        <f>DATE(2016, 5,2)</f>
        <v>42492</v>
      </c>
      <c r="C3" s="6">
        <v>2016123</v>
      </c>
      <c r="D3" s="6">
        <f>67+(28.754/60)</f>
        <v>67.47923333333334</v>
      </c>
      <c r="E3" s="6">
        <f>-(63+(47.352/60))</f>
        <v>-63.789200000000001</v>
      </c>
      <c r="F3" s="6" t="s">
        <v>15</v>
      </c>
      <c r="G3" s="6" t="s">
        <v>17</v>
      </c>
      <c r="H3" s="6"/>
      <c r="I3" s="6"/>
      <c r="J3" s="17"/>
      <c r="K3" s="6">
        <v>2</v>
      </c>
      <c r="L3" s="6">
        <v>0.14000000000000001</v>
      </c>
      <c r="M3" s="17">
        <f t="shared" si="0"/>
        <v>1.5393804002589988E-2</v>
      </c>
      <c r="N3" s="8">
        <v>6200</v>
      </c>
      <c r="O3" s="8">
        <v>7900</v>
      </c>
      <c r="P3" s="9">
        <f t="shared" si="1"/>
        <v>1700</v>
      </c>
      <c r="Q3" s="10">
        <f t="shared" ref="Q3:Q33" si="2">O3/P3</f>
        <v>4.6470588235294121</v>
      </c>
    </row>
    <row r="4" spans="1:17" x14ac:dyDescent="0.2">
      <c r="A4" s="6" t="s">
        <v>14</v>
      </c>
      <c r="B4" s="7">
        <f>DATE(2016, 5,4)</f>
        <v>42494</v>
      </c>
      <c r="C4" s="6">
        <v>2016125</v>
      </c>
      <c r="D4" s="6">
        <f>67+(28.75/60)</f>
        <v>67.479166666666671</v>
      </c>
      <c r="E4" s="6">
        <f>-(63+(47.35/60))</f>
        <v>-63.789166666666667</v>
      </c>
      <c r="F4" s="6" t="s">
        <v>18</v>
      </c>
      <c r="G4" s="6" t="s">
        <v>19</v>
      </c>
      <c r="H4" s="6"/>
      <c r="I4" s="6"/>
      <c r="J4" s="17"/>
      <c r="K4" s="6">
        <v>1</v>
      </c>
      <c r="L4" s="6">
        <v>0.14000000000000001</v>
      </c>
      <c r="M4" s="17">
        <f t="shared" si="0"/>
        <v>1.5393804002589988E-2</v>
      </c>
      <c r="N4" s="8">
        <v>2000</v>
      </c>
      <c r="O4" s="8">
        <v>2160</v>
      </c>
      <c r="P4" s="9">
        <f t="shared" si="1"/>
        <v>160</v>
      </c>
      <c r="Q4" s="10">
        <f t="shared" si="2"/>
        <v>13.5</v>
      </c>
    </row>
    <row r="5" spans="1:17" x14ac:dyDescent="0.2">
      <c r="A5" s="6" t="s">
        <v>14</v>
      </c>
      <c r="B5" s="7">
        <f>DATE(2016, 5,4)</f>
        <v>42494</v>
      </c>
      <c r="C5" s="6">
        <v>2016125</v>
      </c>
      <c r="D5" s="6">
        <f>67+(28.75/60)</f>
        <v>67.479166666666671</v>
      </c>
      <c r="E5" s="6">
        <f>-(63+(47.35/60))</f>
        <v>-63.789166666666667</v>
      </c>
      <c r="F5" s="6" t="s">
        <v>15</v>
      </c>
      <c r="G5" s="6" t="s">
        <v>20</v>
      </c>
      <c r="H5" s="6"/>
      <c r="I5" s="6"/>
      <c r="J5" s="17"/>
      <c r="K5" s="6">
        <v>3</v>
      </c>
      <c r="L5" s="6">
        <v>0.14000000000000001</v>
      </c>
      <c r="M5" s="17">
        <f t="shared" si="0"/>
        <v>1.5393804002589988E-2</v>
      </c>
      <c r="N5" s="8">
        <v>3400</v>
      </c>
      <c r="O5" s="8">
        <v>4600</v>
      </c>
      <c r="P5" s="9">
        <f t="shared" si="1"/>
        <v>1200</v>
      </c>
      <c r="Q5" s="10">
        <f t="shared" si="2"/>
        <v>3.8333333333333335</v>
      </c>
    </row>
    <row r="6" spans="1:17" x14ac:dyDescent="0.2">
      <c r="A6" s="6" t="s">
        <v>14</v>
      </c>
      <c r="B6" s="7">
        <f>DATE(2016, 5,4)</f>
        <v>42494</v>
      </c>
      <c r="C6" s="6">
        <v>2016125</v>
      </c>
      <c r="D6" s="6">
        <f>67+(28.75/60)</f>
        <v>67.479166666666671</v>
      </c>
      <c r="E6" s="6">
        <f>-(63+(47.35/60))</f>
        <v>-63.789166666666667</v>
      </c>
      <c r="F6" s="6" t="s">
        <v>15</v>
      </c>
      <c r="G6" s="6" t="s">
        <v>21</v>
      </c>
      <c r="H6" s="6"/>
      <c r="I6" s="6"/>
      <c r="J6" s="17"/>
      <c r="K6" s="6">
        <v>3</v>
      </c>
      <c r="L6" s="6">
        <v>0.14000000000000001</v>
      </c>
      <c r="M6" s="17">
        <f t="shared" si="0"/>
        <v>1.5393804002589988E-2</v>
      </c>
      <c r="N6" s="8">
        <v>9300</v>
      </c>
      <c r="O6" s="8">
        <v>12275</v>
      </c>
      <c r="P6" s="9">
        <f t="shared" si="1"/>
        <v>2975</v>
      </c>
      <c r="Q6" s="10">
        <f t="shared" si="2"/>
        <v>4.1260504201680677</v>
      </c>
    </row>
    <row r="7" spans="1:17" x14ac:dyDescent="0.2">
      <c r="A7" s="6" t="s">
        <v>14</v>
      </c>
      <c r="B7" s="7">
        <f>DATE(2016, 5,6)</f>
        <v>42496</v>
      </c>
      <c r="C7" s="6">
        <v>2016127</v>
      </c>
      <c r="D7" s="6">
        <f>67+(28.7474/60)</f>
        <v>67.479123333333334</v>
      </c>
      <c r="E7" s="6">
        <f>-(63+(47.354/60))</f>
        <v>-63.789233333333335</v>
      </c>
      <c r="F7" s="6" t="s">
        <v>18</v>
      </c>
      <c r="G7" s="6" t="s">
        <v>24</v>
      </c>
      <c r="H7" s="6"/>
      <c r="I7" s="6"/>
      <c r="J7" s="17"/>
      <c r="K7" s="6">
        <v>2</v>
      </c>
      <c r="L7" s="6">
        <v>0.14000000000000001</v>
      </c>
      <c r="M7" s="17">
        <f t="shared" si="0"/>
        <v>1.5393804002589988E-2</v>
      </c>
      <c r="N7" s="8">
        <v>6000</v>
      </c>
      <c r="O7" s="8">
        <v>6376</v>
      </c>
      <c r="P7" s="9">
        <f t="shared" si="1"/>
        <v>376</v>
      </c>
      <c r="Q7" s="10">
        <f t="shared" si="2"/>
        <v>16.957446808510639</v>
      </c>
    </row>
    <row r="8" spans="1:17" x14ac:dyDescent="0.2">
      <c r="A8" s="6" t="s">
        <v>14</v>
      </c>
      <c r="B8" s="7">
        <f>DATE(2016, 5,6)</f>
        <v>42496</v>
      </c>
      <c r="C8" s="6">
        <v>2016127</v>
      </c>
      <c r="D8" s="6">
        <f>67+(28.7474/60)</f>
        <v>67.479123333333334</v>
      </c>
      <c r="E8" s="6">
        <f>-(63+(47.354/60))</f>
        <v>-63.789233333333335</v>
      </c>
      <c r="F8" s="6" t="s">
        <v>15</v>
      </c>
      <c r="G8" s="6" t="s">
        <v>22</v>
      </c>
      <c r="H8" s="6"/>
      <c r="I8" s="6"/>
      <c r="J8" s="17"/>
      <c r="K8" s="6">
        <v>3</v>
      </c>
      <c r="L8" s="6">
        <v>0.14000000000000001</v>
      </c>
      <c r="M8" s="17">
        <f t="shared" si="0"/>
        <v>1.5393804002589988E-2</v>
      </c>
      <c r="N8" s="8">
        <v>3400</v>
      </c>
      <c r="O8" s="8">
        <v>4580</v>
      </c>
      <c r="P8" s="9">
        <f t="shared" si="1"/>
        <v>1180</v>
      </c>
      <c r="Q8" s="10">
        <f t="shared" si="2"/>
        <v>3.8813559322033897</v>
      </c>
    </row>
    <row r="9" spans="1:17" x14ac:dyDescent="0.2">
      <c r="A9" s="6" t="s">
        <v>14</v>
      </c>
      <c r="B9" s="7">
        <f>DATE(2016, 5,6)</f>
        <v>42496</v>
      </c>
      <c r="C9" s="6">
        <v>2016127</v>
      </c>
      <c r="D9" s="6">
        <f>67+(28.7474/60)</f>
        <v>67.479123333333334</v>
      </c>
      <c r="E9" s="6">
        <f>-(63+(47.354/60))</f>
        <v>-63.789233333333335</v>
      </c>
      <c r="F9" s="6" t="s">
        <v>15</v>
      </c>
      <c r="G9" s="6" t="s">
        <v>23</v>
      </c>
      <c r="H9" s="6"/>
      <c r="I9" s="6"/>
      <c r="J9" s="17"/>
      <c r="K9" s="6">
        <v>3</v>
      </c>
      <c r="L9" s="6">
        <v>0.14000000000000001</v>
      </c>
      <c r="M9" s="17">
        <f t="shared" si="0"/>
        <v>1.5393804002589988E-2</v>
      </c>
      <c r="N9" s="8">
        <v>9300</v>
      </c>
      <c r="O9" s="8">
        <v>12384</v>
      </c>
      <c r="P9" s="9">
        <f t="shared" si="1"/>
        <v>3084</v>
      </c>
      <c r="Q9" s="10">
        <f t="shared" si="2"/>
        <v>4.0155642023346303</v>
      </c>
    </row>
    <row r="10" spans="1:17" x14ac:dyDescent="0.2">
      <c r="A10" s="6" t="s">
        <v>14</v>
      </c>
      <c r="B10" s="7">
        <f>DATE(2016, 5,9)</f>
        <v>42499</v>
      </c>
      <c r="C10" s="6">
        <v>2016130</v>
      </c>
      <c r="D10" s="6">
        <f>67+(28.743/60)</f>
        <v>67.479050000000001</v>
      </c>
      <c r="E10" s="6">
        <f>-(63+(47.346/60))</f>
        <v>-63.789099999999998</v>
      </c>
      <c r="F10" s="6" t="s">
        <v>18</v>
      </c>
      <c r="G10" s="6" t="s">
        <v>24</v>
      </c>
      <c r="H10" s="6"/>
      <c r="I10" s="6"/>
      <c r="J10" s="17"/>
      <c r="K10" s="6">
        <v>2</v>
      </c>
      <c r="L10" s="6">
        <v>0.14000000000000001</v>
      </c>
      <c r="M10" s="17">
        <f t="shared" si="0"/>
        <v>1.5393804002589988E-2</v>
      </c>
      <c r="N10" s="8">
        <v>6000</v>
      </c>
      <c r="O10" s="8">
        <v>6430</v>
      </c>
      <c r="P10" s="9">
        <f t="shared" si="1"/>
        <v>430</v>
      </c>
      <c r="Q10" s="10">
        <f t="shared" si="2"/>
        <v>14.953488372093023</v>
      </c>
    </row>
    <row r="11" spans="1:17" x14ac:dyDescent="0.2">
      <c r="A11" s="6" t="s">
        <v>14</v>
      </c>
      <c r="B11" s="7">
        <f>DATE(2016, 5,9)</f>
        <v>42499</v>
      </c>
      <c r="C11" s="6">
        <v>2016130</v>
      </c>
      <c r="D11" s="6">
        <f>67+(28.743/60)</f>
        <v>67.479050000000001</v>
      </c>
      <c r="E11" s="6">
        <f>-(63+(47.346/60))</f>
        <v>-63.789099999999998</v>
      </c>
      <c r="F11" s="6" t="s">
        <v>15</v>
      </c>
      <c r="G11" s="6" t="s">
        <v>22</v>
      </c>
      <c r="H11" s="6"/>
      <c r="I11" s="6"/>
      <c r="J11" s="17"/>
      <c r="K11" s="6">
        <v>3</v>
      </c>
      <c r="L11" s="6">
        <v>0.14000000000000001</v>
      </c>
      <c r="M11" s="17">
        <f t="shared" si="0"/>
        <v>1.5393804002589988E-2</v>
      </c>
      <c r="N11" s="8">
        <v>4000</v>
      </c>
      <c r="O11" s="8">
        <v>5006</v>
      </c>
      <c r="P11" s="9">
        <f t="shared" si="1"/>
        <v>1006</v>
      </c>
      <c r="Q11" s="10">
        <f t="shared" si="2"/>
        <v>4.9761431411530817</v>
      </c>
    </row>
    <row r="12" spans="1:17" x14ac:dyDescent="0.2">
      <c r="A12" s="6" t="s">
        <v>14</v>
      </c>
      <c r="B12" s="7">
        <f>DATE(2016, 5,9)</f>
        <v>42499</v>
      </c>
      <c r="C12" s="6">
        <v>2016130</v>
      </c>
      <c r="D12" s="6">
        <f>67+(28.743/60)</f>
        <v>67.479050000000001</v>
      </c>
      <c r="E12" s="6">
        <f>-(63+(47.346/60))</f>
        <v>-63.789099999999998</v>
      </c>
      <c r="F12" s="6" t="s">
        <v>15</v>
      </c>
      <c r="G12" s="6" t="s">
        <v>23</v>
      </c>
      <c r="H12" s="6"/>
      <c r="I12" s="6"/>
      <c r="J12" s="17"/>
      <c r="K12" s="6">
        <v>3</v>
      </c>
      <c r="L12" s="6">
        <v>0.14000000000000001</v>
      </c>
      <c r="M12" s="17">
        <f t="shared" si="0"/>
        <v>1.5393804002589988E-2</v>
      </c>
      <c r="N12" s="8">
        <v>9300</v>
      </c>
      <c r="O12" s="8">
        <v>11980</v>
      </c>
      <c r="P12" s="9">
        <f t="shared" si="1"/>
        <v>2680</v>
      </c>
      <c r="Q12" s="10">
        <f t="shared" si="2"/>
        <v>4.4701492537313436</v>
      </c>
    </row>
    <row r="13" spans="1:17" x14ac:dyDescent="0.2">
      <c r="A13" s="6" t="s">
        <v>14</v>
      </c>
      <c r="B13" s="7">
        <f>DATE(2016, 5,9)</f>
        <v>42499</v>
      </c>
      <c r="C13" s="6">
        <v>2016130</v>
      </c>
      <c r="D13" s="6">
        <f>67+(28.743/60)</f>
        <v>67.479050000000001</v>
      </c>
      <c r="E13" s="6">
        <f>-(63+(47.346/60))</f>
        <v>-63.789099999999998</v>
      </c>
      <c r="F13" s="6" t="s">
        <v>15</v>
      </c>
      <c r="G13" s="11" t="s">
        <v>22</v>
      </c>
      <c r="H13" s="11"/>
      <c r="I13" s="11"/>
      <c r="J13" s="18"/>
      <c r="K13" s="11">
        <v>3</v>
      </c>
      <c r="L13" s="11">
        <v>0.14000000000000001</v>
      </c>
      <c r="M13" s="18">
        <f t="shared" si="0"/>
        <v>1.5393804002589988E-2</v>
      </c>
      <c r="N13" s="12">
        <v>4000</v>
      </c>
      <c r="O13" s="12">
        <v>5060</v>
      </c>
      <c r="P13" s="9">
        <f t="shared" si="1"/>
        <v>1060</v>
      </c>
      <c r="Q13" s="10">
        <f t="shared" si="2"/>
        <v>4.7735849056603774</v>
      </c>
    </row>
    <row r="14" spans="1:17" x14ac:dyDescent="0.2">
      <c r="A14" s="6" t="s">
        <v>14</v>
      </c>
      <c r="B14" s="7">
        <f>DATE(2016, 5,9)</f>
        <v>42499</v>
      </c>
      <c r="C14" s="6">
        <v>2016130</v>
      </c>
      <c r="D14" s="6">
        <f>67+(28.743/60)</f>
        <v>67.479050000000001</v>
      </c>
      <c r="E14" s="6">
        <f>-(63+(47.346/60))</f>
        <v>-63.789099999999998</v>
      </c>
      <c r="F14" s="6" t="s">
        <v>15</v>
      </c>
      <c r="G14" s="6" t="s">
        <v>23</v>
      </c>
      <c r="H14" s="6"/>
      <c r="I14" s="6"/>
      <c r="J14" s="17"/>
      <c r="K14" s="6">
        <v>3</v>
      </c>
      <c r="L14" s="6">
        <v>0.14000000000000001</v>
      </c>
      <c r="M14" s="17">
        <f t="shared" si="0"/>
        <v>1.5393804002589988E-2</v>
      </c>
      <c r="N14" s="8">
        <v>9300</v>
      </c>
      <c r="O14" s="8">
        <v>11980</v>
      </c>
      <c r="P14" s="9">
        <f t="shared" si="1"/>
        <v>2680</v>
      </c>
      <c r="Q14" s="10">
        <f t="shared" si="2"/>
        <v>4.4701492537313436</v>
      </c>
    </row>
    <row r="15" spans="1:17" x14ac:dyDescent="0.2">
      <c r="A15" s="6" t="s">
        <v>14</v>
      </c>
      <c r="B15" s="7">
        <f>DATE(2016, 5,11)</f>
        <v>42501</v>
      </c>
      <c r="C15" s="6">
        <v>2016132</v>
      </c>
      <c r="D15" s="6">
        <f>67+(28.74/60)</f>
        <v>67.478999999999999</v>
      </c>
      <c r="E15" s="6">
        <f>-(63+(47.348/60))</f>
        <v>-63.789133333333332</v>
      </c>
      <c r="F15" s="6" t="s">
        <v>18</v>
      </c>
      <c r="G15" s="6" t="s">
        <v>24</v>
      </c>
      <c r="H15" s="6"/>
      <c r="I15" s="6"/>
      <c r="J15" s="17"/>
      <c r="K15" s="6">
        <v>2</v>
      </c>
      <c r="L15" s="6">
        <v>0.14000000000000001</v>
      </c>
      <c r="M15" s="17">
        <f t="shared" si="0"/>
        <v>1.5393804002589988E-2</v>
      </c>
      <c r="N15" s="8">
        <v>6000</v>
      </c>
      <c r="O15" s="8">
        <v>6392</v>
      </c>
      <c r="P15" s="9">
        <f t="shared" si="1"/>
        <v>392</v>
      </c>
      <c r="Q15" s="10">
        <f t="shared" si="2"/>
        <v>16.306122448979593</v>
      </c>
    </row>
    <row r="16" spans="1:17" x14ac:dyDescent="0.2">
      <c r="A16" s="6" t="s">
        <v>14</v>
      </c>
      <c r="B16" s="7">
        <f>DATE(2016, 5,11)</f>
        <v>42501</v>
      </c>
      <c r="C16" s="6">
        <v>2016132</v>
      </c>
      <c r="D16" s="6">
        <f>67+(28.74/60)</f>
        <v>67.478999999999999</v>
      </c>
      <c r="E16" s="6">
        <f>-(63+(47.348/60))</f>
        <v>-63.789133333333332</v>
      </c>
      <c r="F16" s="6" t="s">
        <v>18</v>
      </c>
      <c r="G16" s="6" t="s">
        <v>24</v>
      </c>
      <c r="H16" s="6"/>
      <c r="I16" s="6"/>
      <c r="J16" s="17"/>
      <c r="K16" s="6">
        <v>2</v>
      </c>
      <c r="L16" s="6">
        <v>0.14000000000000001</v>
      </c>
      <c r="M16" s="17">
        <f t="shared" si="0"/>
        <v>1.5393804002589988E-2</v>
      </c>
      <c r="N16" s="8">
        <v>6000</v>
      </c>
      <c r="O16" s="8">
        <v>6392</v>
      </c>
      <c r="P16" s="9">
        <f t="shared" si="1"/>
        <v>392</v>
      </c>
      <c r="Q16" s="10">
        <f t="shared" si="2"/>
        <v>16.306122448979593</v>
      </c>
    </row>
    <row r="17" spans="1:17" x14ac:dyDescent="0.2">
      <c r="A17" s="6" t="s">
        <v>14</v>
      </c>
      <c r="B17" s="7">
        <f>DATE(2016, 5,11)</f>
        <v>42501</v>
      </c>
      <c r="C17" s="6">
        <v>2016132</v>
      </c>
      <c r="D17" s="6">
        <f>67+(28.74/60)</f>
        <v>67.478999999999999</v>
      </c>
      <c r="E17" s="6">
        <f>-(63+(47.348/60))</f>
        <v>-63.789133333333332</v>
      </c>
      <c r="F17" s="6" t="s">
        <v>15</v>
      </c>
      <c r="G17" s="6" t="s">
        <v>22</v>
      </c>
      <c r="H17" s="6"/>
      <c r="I17" s="6"/>
      <c r="J17" s="17"/>
      <c r="K17" s="6">
        <v>3</v>
      </c>
      <c r="L17" s="6">
        <v>0.14000000000000001</v>
      </c>
      <c r="M17" s="17">
        <f t="shared" si="0"/>
        <v>1.5393804002589988E-2</v>
      </c>
      <c r="N17" s="8">
        <v>4000</v>
      </c>
      <c r="O17" s="8">
        <v>5050</v>
      </c>
      <c r="P17" s="9">
        <f t="shared" si="1"/>
        <v>1050</v>
      </c>
      <c r="Q17" s="10">
        <f t="shared" si="2"/>
        <v>4.8095238095238093</v>
      </c>
    </row>
    <row r="18" spans="1:17" x14ac:dyDescent="0.2">
      <c r="A18" s="6" t="s">
        <v>14</v>
      </c>
      <c r="B18" s="7">
        <f>DATE(2016, 5,11)</f>
        <v>42501</v>
      </c>
      <c r="C18" s="6">
        <v>2016132</v>
      </c>
      <c r="D18" s="6">
        <f>67+(28.74/60)</f>
        <v>67.478999999999999</v>
      </c>
      <c r="E18" s="6">
        <f>-(63+(47.348/60))</f>
        <v>-63.789133333333332</v>
      </c>
      <c r="F18" s="6" t="s">
        <v>15</v>
      </c>
      <c r="G18" s="6" t="s">
        <v>23</v>
      </c>
      <c r="H18" s="6"/>
      <c r="I18" s="6"/>
      <c r="J18" s="17"/>
      <c r="K18" s="6">
        <v>3</v>
      </c>
      <c r="L18" s="6">
        <v>0.14000000000000001</v>
      </c>
      <c r="M18" s="17">
        <f t="shared" si="0"/>
        <v>1.5393804002589988E-2</v>
      </c>
      <c r="N18" s="8">
        <v>9300</v>
      </c>
      <c r="O18" s="8">
        <v>12290</v>
      </c>
      <c r="P18" s="9">
        <f t="shared" si="1"/>
        <v>2990</v>
      </c>
      <c r="Q18" s="10">
        <f t="shared" si="2"/>
        <v>4.1103678929765888</v>
      </c>
    </row>
    <row r="19" spans="1:17" x14ac:dyDescent="0.2">
      <c r="A19" s="6" t="s">
        <v>14</v>
      </c>
      <c r="B19" s="7">
        <v>42503</v>
      </c>
      <c r="C19" s="6">
        <v>2016134</v>
      </c>
      <c r="D19" s="6">
        <v>67.479016666666666</v>
      </c>
      <c r="E19" s="6">
        <v>-63.788916666666665</v>
      </c>
      <c r="F19" s="6" t="s">
        <v>18</v>
      </c>
      <c r="G19" s="6" t="s">
        <v>24</v>
      </c>
      <c r="H19" s="6"/>
      <c r="I19" s="6"/>
      <c r="J19" s="17"/>
      <c r="K19" s="6">
        <v>2</v>
      </c>
      <c r="L19" s="6">
        <v>0.14000000000000001</v>
      </c>
      <c r="M19" s="17">
        <f t="shared" si="0"/>
        <v>1.5393804002589988E-2</v>
      </c>
      <c r="N19" s="8">
        <v>6000</v>
      </c>
      <c r="O19" s="8">
        <v>6360</v>
      </c>
      <c r="P19" s="13">
        <f t="shared" si="1"/>
        <v>360</v>
      </c>
      <c r="Q19" s="10">
        <f t="shared" si="2"/>
        <v>17.666666666666668</v>
      </c>
    </row>
    <row r="20" spans="1:17" x14ac:dyDescent="0.2">
      <c r="A20" s="6" t="s">
        <v>14</v>
      </c>
      <c r="B20" s="7">
        <f>DATE(2016, 5,13)</f>
        <v>42503</v>
      </c>
      <c r="C20" s="6">
        <v>2016134</v>
      </c>
      <c r="D20" s="6">
        <v>67.4797333333333</v>
      </c>
      <c r="E20" s="6">
        <v>63.789533333333303</v>
      </c>
      <c r="F20" s="6" t="s">
        <v>18</v>
      </c>
      <c r="G20" s="6" t="s">
        <v>24</v>
      </c>
      <c r="H20" s="6"/>
      <c r="I20" s="6"/>
      <c r="J20" s="17"/>
      <c r="K20" s="6">
        <v>2</v>
      </c>
      <c r="L20" s="6">
        <v>0.14000000000000001</v>
      </c>
      <c r="M20" s="17">
        <f t="shared" si="0"/>
        <v>1.5393804002589988E-2</v>
      </c>
      <c r="N20" s="8">
        <v>6000</v>
      </c>
      <c r="O20" s="8">
        <v>6360</v>
      </c>
      <c r="P20" s="9">
        <f t="shared" si="1"/>
        <v>360</v>
      </c>
      <c r="Q20" s="10">
        <f t="shared" si="2"/>
        <v>17.666666666666668</v>
      </c>
    </row>
    <row r="21" spans="1:17" x14ac:dyDescent="0.2">
      <c r="A21" s="6" t="s">
        <v>14</v>
      </c>
      <c r="B21" s="7">
        <f>DATE(2016, 5,13)</f>
        <v>42503</v>
      </c>
      <c r="C21" s="6">
        <v>2016134</v>
      </c>
      <c r="D21" s="6">
        <f>67+(28.741/60)</f>
        <v>67.479016666666666</v>
      </c>
      <c r="E21" s="6">
        <f>-(63+(47.335/60))</f>
        <v>-63.788916666666665</v>
      </c>
      <c r="F21" s="6" t="s">
        <v>15</v>
      </c>
      <c r="G21" s="6" t="s">
        <v>22</v>
      </c>
      <c r="H21" s="6"/>
      <c r="I21" s="6"/>
      <c r="J21" s="17"/>
      <c r="K21" s="6">
        <v>3</v>
      </c>
      <c r="L21" s="6">
        <v>0.14000000000000001</v>
      </c>
      <c r="M21" s="17">
        <f t="shared" si="0"/>
        <v>1.5393804002589988E-2</v>
      </c>
      <c r="N21" s="8">
        <v>4000</v>
      </c>
      <c r="O21" s="8">
        <v>5200</v>
      </c>
      <c r="P21" s="9">
        <f t="shared" si="1"/>
        <v>1200</v>
      </c>
      <c r="Q21" s="10">
        <f t="shared" si="2"/>
        <v>4.333333333333333</v>
      </c>
    </row>
    <row r="22" spans="1:17" x14ac:dyDescent="0.2">
      <c r="A22" s="6" t="s">
        <v>14</v>
      </c>
      <c r="B22" s="7">
        <f>DATE(2016, 5,13)</f>
        <v>42503</v>
      </c>
      <c r="C22" s="6">
        <v>2016134</v>
      </c>
      <c r="D22" s="6">
        <f>67+(28.741/60)</f>
        <v>67.479016666666666</v>
      </c>
      <c r="E22" s="6">
        <f>-(63+(47.335/60))</f>
        <v>-63.788916666666665</v>
      </c>
      <c r="F22" s="6" t="s">
        <v>15</v>
      </c>
      <c r="G22" s="6" t="s">
        <v>22</v>
      </c>
      <c r="H22" s="6"/>
      <c r="I22" s="6"/>
      <c r="J22" s="17"/>
      <c r="K22" s="6">
        <v>3</v>
      </c>
      <c r="L22" s="6">
        <v>0.14000000000000001</v>
      </c>
      <c r="M22" s="17">
        <f t="shared" si="0"/>
        <v>1.5393804002589988E-2</v>
      </c>
      <c r="N22" s="8">
        <v>4000</v>
      </c>
      <c r="O22" s="8">
        <v>5200</v>
      </c>
      <c r="P22" s="9">
        <f t="shared" si="1"/>
        <v>1200</v>
      </c>
      <c r="Q22" s="10">
        <f t="shared" si="2"/>
        <v>4.333333333333333</v>
      </c>
    </row>
    <row r="23" spans="1:17" x14ac:dyDescent="0.2">
      <c r="A23" s="6" t="s">
        <v>14</v>
      </c>
      <c r="B23" s="7">
        <f>DATE(2016, 5,13)</f>
        <v>42503</v>
      </c>
      <c r="C23" s="6">
        <v>2016134</v>
      </c>
      <c r="D23" s="6">
        <f>67+(28.741/60)</f>
        <v>67.479016666666666</v>
      </c>
      <c r="E23" s="6">
        <f>-(63+(47.335/60))</f>
        <v>-63.788916666666665</v>
      </c>
      <c r="F23" s="6" t="s">
        <v>15</v>
      </c>
      <c r="G23" s="6" t="s">
        <v>23</v>
      </c>
      <c r="H23" s="6"/>
      <c r="I23" s="6"/>
      <c r="J23" s="17"/>
      <c r="K23" s="6">
        <v>3</v>
      </c>
      <c r="L23" s="6">
        <v>0.14000000000000001</v>
      </c>
      <c r="M23" s="17">
        <f t="shared" si="0"/>
        <v>1.5393804002589988E-2</v>
      </c>
      <c r="N23" s="8">
        <v>9300</v>
      </c>
      <c r="O23" s="8">
        <v>12300</v>
      </c>
      <c r="P23" s="9">
        <f t="shared" si="1"/>
        <v>3000</v>
      </c>
      <c r="Q23" s="10">
        <f t="shared" si="2"/>
        <v>4.0999999999999996</v>
      </c>
    </row>
    <row r="24" spans="1:17" x14ac:dyDescent="0.2">
      <c r="A24" s="6" t="s">
        <v>14</v>
      </c>
      <c r="B24" s="7">
        <f>DATE(2016, 5,13)</f>
        <v>42503</v>
      </c>
      <c r="C24" s="6">
        <v>2016134</v>
      </c>
      <c r="D24" s="6">
        <f>67+(28.741/60)</f>
        <v>67.479016666666666</v>
      </c>
      <c r="E24" s="6">
        <f>-(63+(47.335/60))</f>
        <v>-63.788916666666665</v>
      </c>
      <c r="F24" s="6" t="s">
        <v>15</v>
      </c>
      <c r="G24" s="6" t="s">
        <v>23</v>
      </c>
      <c r="H24" s="6"/>
      <c r="I24" s="6"/>
      <c r="J24" s="17"/>
      <c r="K24" s="6">
        <v>3</v>
      </c>
      <c r="L24" s="6">
        <v>0.14000000000000001</v>
      </c>
      <c r="M24" s="17">
        <f t="shared" si="0"/>
        <v>1.5393804002589988E-2</v>
      </c>
      <c r="N24" s="8">
        <v>9300</v>
      </c>
      <c r="O24" s="8">
        <v>12300</v>
      </c>
      <c r="P24" s="9">
        <f t="shared" si="1"/>
        <v>3000</v>
      </c>
      <c r="Q24" s="10">
        <f t="shared" si="2"/>
        <v>4.0999999999999996</v>
      </c>
    </row>
    <row r="25" spans="1:17" x14ac:dyDescent="0.2">
      <c r="A25" s="6" t="s">
        <v>14</v>
      </c>
      <c r="B25" s="7">
        <f>DATE(2016, 5,16)</f>
        <v>42506</v>
      </c>
      <c r="C25" s="6">
        <v>2016137</v>
      </c>
      <c r="D25" s="6">
        <f t="shared" ref="D25:D30" si="3">67+(28.797/60)</f>
        <v>67.479950000000002</v>
      </c>
      <c r="E25" s="6">
        <f t="shared" ref="E25:E30" si="4">-(63+(47.328/60))</f>
        <v>-63.788800000000002</v>
      </c>
      <c r="F25" s="6" t="s">
        <v>18</v>
      </c>
      <c r="G25" s="6" t="s">
        <v>24</v>
      </c>
      <c r="H25" s="6"/>
      <c r="I25" s="6"/>
      <c r="J25" s="17"/>
      <c r="K25" s="6">
        <v>2</v>
      </c>
      <c r="L25" s="6">
        <v>0.14000000000000001</v>
      </c>
      <c r="M25" s="17">
        <f t="shared" si="0"/>
        <v>1.5393804002589988E-2</v>
      </c>
      <c r="N25" s="8">
        <v>9000</v>
      </c>
      <c r="O25" s="8">
        <v>9382</v>
      </c>
      <c r="P25" s="9">
        <f t="shared" si="1"/>
        <v>382</v>
      </c>
      <c r="Q25" s="10">
        <f t="shared" si="2"/>
        <v>24.560209424083769</v>
      </c>
    </row>
    <row r="26" spans="1:17" x14ac:dyDescent="0.2">
      <c r="A26" s="6" t="s">
        <v>14</v>
      </c>
      <c r="B26" s="7">
        <f>DATE(2016, 5,16)</f>
        <v>42506</v>
      </c>
      <c r="C26" s="6">
        <v>2016137</v>
      </c>
      <c r="D26" s="6">
        <f t="shared" si="3"/>
        <v>67.479950000000002</v>
      </c>
      <c r="E26" s="6">
        <f t="shared" si="4"/>
        <v>-63.788800000000002</v>
      </c>
      <c r="F26" s="6" t="s">
        <v>18</v>
      </c>
      <c r="G26" s="6" t="s">
        <v>24</v>
      </c>
      <c r="H26" s="6"/>
      <c r="I26" s="6"/>
      <c r="J26" s="17"/>
      <c r="K26" s="6">
        <v>2</v>
      </c>
      <c r="L26" s="6">
        <v>0.14000000000000001</v>
      </c>
      <c r="M26" s="17">
        <f t="shared" si="0"/>
        <v>1.5393804002589988E-2</v>
      </c>
      <c r="N26" s="8">
        <v>9000</v>
      </c>
      <c r="O26" s="8">
        <v>9382</v>
      </c>
      <c r="P26" s="9">
        <f t="shared" si="1"/>
        <v>382</v>
      </c>
      <c r="Q26" s="10">
        <f t="shared" si="2"/>
        <v>24.560209424083769</v>
      </c>
    </row>
    <row r="27" spans="1:17" x14ac:dyDescent="0.2">
      <c r="A27" s="6" t="s">
        <v>14</v>
      </c>
      <c r="B27" s="7">
        <f>DATE(2016, 5,16)</f>
        <v>42506</v>
      </c>
      <c r="C27" s="6">
        <v>2016137</v>
      </c>
      <c r="D27" s="6">
        <f t="shared" si="3"/>
        <v>67.479950000000002</v>
      </c>
      <c r="E27" s="6">
        <f t="shared" si="4"/>
        <v>-63.788800000000002</v>
      </c>
      <c r="F27" s="6" t="s">
        <v>15</v>
      </c>
      <c r="G27" s="6" t="s">
        <v>22</v>
      </c>
      <c r="H27" s="6"/>
      <c r="I27" s="6"/>
      <c r="J27" s="17"/>
      <c r="K27" s="6">
        <v>3</v>
      </c>
      <c r="L27" s="6">
        <v>0.14000000000000001</v>
      </c>
      <c r="M27" s="17">
        <f t="shared" si="0"/>
        <v>1.5393804002589988E-2</v>
      </c>
      <c r="N27" s="8">
        <v>4000</v>
      </c>
      <c r="O27" s="8">
        <v>5130</v>
      </c>
      <c r="P27" s="9">
        <f t="shared" si="1"/>
        <v>1130</v>
      </c>
      <c r="Q27" s="10">
        <f t="shared" si="2"/>
        <v>4.5398230088495577</v>
      </c>
    </row>
    <row r="28" spans="1:17" x14ac:dyDescent="0.2">
      <c r="A28" s="6" t="s">
        <v>14</v>
      </c>
      <c r="B28" s="7">
        <f>DATE(2016, 5,16)</f>
        <v>42506</v>
      </c>
      <c r="C28" s="6">
        <v>2016137</v>
      </c>
      <c r="D28" s="6">
        <f t="shared" si="3"/>
        <v>67.479950000000002</v>
      </c>
      <c r="E28" s="6">
        <f t="shared" si="4"/>
        <v>-63.788800000000002</v>
      </c>
      <c r="F28" s="6" t="s">
        <v>15</v>
      </c>
      <c r="G28" s="6" t="s">
        <v>23</v>
      </c>
      <c r="H28" s="6"/>
      <c r="I28" s="6"/>
      <c r="J28" s="17"/>
      <c r="K28" s="6">
        <v>3</v>
      </c>
      <c r="L28" s="6">
        <v>0.14000000000000001</v>
      </c>
      <c r="M28" s="17">
        <f t="shared" si="0"/>
        <v>1.5393804002589988E-2</v>
      </c>
      <c r="N28" s="8">
        <v>9300</v>
      </c>
      <c r="O28" s="8">
        <v>12100</v>
      </c>
      <c r="P28" s="9">
        <f t="shared" si="1"/>
        <v>2800</v>
      </c>
      <c r="Q28" s="10">
        <f t="shared" si="2"/>
        <v>4.3214285714285712</v>
      </c>
    </row>
    <row r="29" spans="1:17" x14ac:dyDescent="0.2">
      <c r="A29" s="6" t="s">
        <v>14</v>
      </c>
      <c r="B29" s="7">
        <v>42506</v>
      </c>
      <c r="C29" s="6">
        <v>2016137</v>
      </c>
      <c r="D29" s="6">
        <f t="shared" si="3"/>
        <v>67.479950000000002</v>
      </c>
      <c r="E29" s="6">
        <f t="shared" si="4"/>
        <v>-63.788800000000002</v>
      </c>
      <c r="F29" s="6" t="s">
        <v>25</v>
      </c>
      <c r="G29" s="6" t="s">
        <v>22</v>
      </c>
      <c r="H29" s="6">
        <v>1</v>
      </c>
      <c r="I29" s="6">
        <v>0.09</v>
      </c>
      <c r="J29" s="17">
        <f>PI()*(I29/2)^2</f>
        <v>6.3617251235193305E-3</v>
      </c>
      <c r="K29" s="6">
        <v>0</v>
      </c>
      <c r="L29" s="17"/>
      <c r="M29" s="17"/>
      <c r="N29" s="12">
        <v>770</v>
      </c>
      <c r="O29" s="12">
        <v>1730</v>
      </c>
      <c r="P29" s="9">
        <f t="shared" si="1"/>
        <v>960</v>
      </c>
      <c r="Q29" s="10">
        <f t="shared" si="2"/>
        <v>1.8020833333333333</v>
      </c>
    </row>
    <row r="30" spans="1:17" x14ac:dyDescent="0.2">
      <c r="A30" s="6" t="s">
        <v>14</v>
      </c>
      <c r="B30" s="7">
        <v>42506</v>
      </c>
      <c r="C30" s="6">
        <v>2016137</v>
      </c>
      <c r="D30" s="6">
        <f t="shared" si="3"/>
        <v>67.479950000000002</v>
      </c>
      <c r="E30" s="6">
        <f t="shared" si="4"/>
        <v>-63.788800000000002</v>
      </c>
      <c r="F30" s="6" t="s">
        <v>25</v>
      </c>
      <c r="G30" s="6" t="s">
        <v>23</v>
      </c>
      <c r="H30" s="6">
        <v>1</v>
      </c>
      <c r="I30" s="6">
        <v>0.09</v>
      </c>
      <c r="J30" s="17">
        <f>PI()*(I30/2)^2</f>
        <v>6.3617251235193305E-3</v>
      </c>
      <c r="K30" s="6">
        <v>0</v>
      </c>
      <c r="L30" s="17"/>
      <c r="M30" s="17"/>
      <c r="N30" s="12">
        <v>1700</v>
      </c>
      <c r="O30" s="12">
        <v>4200</v>
      </c>
      <c r="P30" s="9">
        <f t="shared" si="1"/>
        <v>2500</v>
      </c>
      <c r="Q30" s="10">
        <f t="shared" si="2"/>
        <v>1.68</v>
      </c>
    </row>
    <row r="31" spans="1:17" x14ac:dyDescent="0.2">
      <c r="A31" s="6" t="s">
        <v>14</v>
      </c>
      <c r="B31" s="7">
        <f>DATE(2016, 5,18)</f>
        <v>42508</v>
      </c>
      <c r="C31" s="6">
        <v>2016139</v>
      </c>
      <c r="D31" s="6">
        <f>67+(28.747/60)</f>
        <v>67.47911666666667</v>
      </c>
      <c r="E31" s="6">
        <f>-(63+(47.315/60))</f>
        <v>-63.788583333333335</v>
      </c>
      <c r="F31" s="6" t="s">
        <v>18</v>
      </c>
      <c r="G31" s="6" t="s">
        <v>24</v>
      </c>
      <c r="H31" s="6"/>
      <c r="I31" s="6"/>
      <c r="J31" s="17"/>
      <c r="K31" s="6">
        <v>2</v>
      </c>
      <c r="L31" s="6">
        <v>0.14000000000000001</v>
      </c>
      <c r="M31" s="17">
        <f>PI()*(L31/2)^2</f>
        <v>1.5393804002589988E-2</v>
      </c>
      <c r="N31" s="8">
        <v>8000</v>
      </c>
      <c r="O31" s="8">
        <v>8498</v>
      </c>
      <c r="P31" s="9">
        <f t="shared" si="1"/>
        <v>498</v>
      </c>
      <c r="Q31" s="10">
        <f t="shared" si="2"/>
        <v>17.064257028112451</v>
      </c>
    </row>
    <row r="32" spans="1:17" x14ac:dyDescent="0.2">
      <c r="A32" s="6" t="s">
        <v>14</v>
      </c>
      <c r="B32" s="7">
        <f>DATE(2016, 5,18)</f>
        <v>42508</v>
      </c>
      <c r="C32" s="6">
        <v>2016139</v>
      </c>
      <c r="D32" s="6">
        <f>67+(28.747/60)</f>
        <v>67.47911666666667</v>
      </c>
      <c r="E32" s="6">
        <f>-(63+(47.315/60))</f>
        <v>-63.788583333333335</v>
      </c>
      <c r="F32" s="6" t="s">
        <v>18</v>
      </c>
      <c r="G32" s="6" t="s">
        <v>24</v>
      </c>
      <c r="H32" s="6"/>
      <c r="I32" s="6"/>
      <c r="J32" s="17"/>
      <c r="K32" s="6">
        <v>2</v>
      </c>
      <c r="L32" s="6">
        <v>0.14000000000000001</v>
      </c>
      <c r="M32" s="17">
        <f>PI()*(L32/2)^2</f>
        <v>1.5393804002589988E-2</v>
      </c>
      <c r="N32" s="8">
        <v>8000</v>
      </c>
      <c r="O32" s="8">
        <v>8498</v>
      </c>
      <c r="P32" s="9">
        <f t="shared" si="1"/>
        <v>498</v>
      </c>
      <c r="Q32" s="10">
        <f t="shared" si="2"/>
        <v>17.064257028112451</v>
      </c>
    </row>
    <row r="33" spans="1:17" x14ac:dyDescent="0.2">
      <c r="A33" s="6" t="s">
        <v>14</v>
      </c>
      <c r="B33" s="7">
        <f>DATE(2016, 5,18)</f>
        <v>42508</v>
      </c>
      <c r="C33" s="6">
        <v>2016139</v>
      </c>
      <c r="D33" s="6">
        <f>67+(28.747/60)</f>
        <v>67.47911666666667</v>
      </c>
      <c r="E33" s="6">
        <f>-(63+(47.315/60))</f>
        <v>-63.788583333333335</v>
      </c>
      <c r="F33" s="6" t="s">
        <v>15</v>
      </c>
      <c r="G33" s="6" t="s">
        <v>22</v>
      </c>
      <c r="H33" s="6"/>
      <c r="I33" s="6"/>
      <c r="J33" s="17"/>
      <c r="K33" s="6">
        <v>3</v>
      </c>
      <c r="L33" s="6">
        <v>0.14000000000000001</v>
      </c>
      <c r="M33" s="17">
        <f>PI()*(L33/2)^2</f>
        <v>1.5393804002589988E-2</v>
      </c>
      <c r="N33" s="8">
        <v>5300</v>
      </c>
      <c r="O33" s="8">
        <v>6970</v>
      </c>
      <c r="P33" s="9">
        <f t="shared" si="1"/>
        <v>1670</v>
      </c>
      <c r="Q33" s="10">
        <f t="shared" si="2"/>
        <v>4.1736526946107784</v>
      </c>
    </row>
    <row r="34" spans="1:17" x14ac:dyDescent="0.2">
      <c r="A34" s="6" t="s">
        <v>14</v>
      </c>
      <c r="B34" s="7">
        <f>DATE(2016, 5,18)</f>
        <v>42508</v>
      </c>
      <c r="C34" s="6">
        <v>2016139</v>
      </c>
      <c r="D34" s="6">
        <f>67+(28.747/60)</f>
        <v>67.47911666666667</v>
      </c>
      <c r="E34" s="6">
        <f>-(63+(47.315/60))</f>
        <v>-63.788583333333335</v>
      </c>
      <c r="F34" s="6" t="s">
        <v>15</v>
      </c>
      <c r="G34" s="6" t="s">
        <v>23</v>
      </c>
      <c r="H34" s="6"/>
      <c r="I34" s="6"/>
      <c r="J34" s="17"/>
      <c r="K34" s="6">
        <v>3</v>
      </c>
      <c r="L34" s="6">
        <v>0.14000000000000001</v>
      </c>
      <c r="M34" s="17">
        <f>PI()*(L34/2)^2</f>
        <v>1.5393804002589988E-2</v>
      </c>
      <c r="N34" s="8">
        <v>12400</v>
      </c>
      <c r="O34" s="8">
        <v>15985</v>
      </c>
      <c r="P34" s="9">
        <f t="shared" ref="P34:P65" si="5">O34-N34</f>
        <v>3585</v>
      </c>
      <c r="Q34" s="10">
        <f t="shared" ref="Q34:Q65" si="6">O34/P34</f>
        <v>4.4588563458856347</v>
      </c>
    </row>
    <row r="35" spans="1:17" x14ac:dyDescent="0.2">
      <c r="A35" s="6" t="s">
        <v>14</v>
      </c>
      <c r="B35" s="7">
        <v>42508</v>
      </c>
      <c r="C35" s="6">
        <v>2016139</v>
      </c>
      <c r="D35" s="6">
        <v>67.47911666666667</v>
      </c>
      <c r="E35" s="6">
        <v>-63.788583333333335</v>
      </c>
      <c r="F35" s="6" t="s">
        <v>25</v>
      </c>
      <c r="G35" s="6" t="s">
        <v>22</v>
      </c>
      <c r="H35" s="6">
        <v>1</v>
      </c>
      <c r="I35" s="6">
        <v>0.09</v>
      </c>
      <c r="J35" s="17">
        <f>PI()*(I35/2)^2</f>
        <v>6.3617251235193305E-3</v>
      </c>
      <c r="K35" s="6">
        <v>0</v>
      </c>
      <c r="L35" s="17"/>
      <c r="M35" s="17"/>
      <c r="N35" s="12">
        <v>515</v>
      </c>
      <c r="O35" s="12">
        <v>670</v>
      </c>
      <c r="P35" s="9">
        <f t="shared" si="5"/>
        <v>155</v>
      </c>
      <c r="Q35" s="10">
        <f t="shared" si="6"/>
        <v>4.32258064516129</v>
      </c>
    </row>
    <row r="36" spans="1:17" x14ac:dyDescent="0.2">
      <c r="A36" s="6" t="s">
        <v>14</v>
      </c>
      <c r="B36" s="7">
        <v>42508</v>
      </c>
      <c r="C36" s="6">
        <v>2016139</v>
      </c>
      <c r="D36" s="6">
        <v>67.47911666666667</v>
      </c>
      <c r="E36" s="6">
        <v>-63.788583333333335</v>
      </c>
      <c r="F36" s="6" t="s">
        <v>25</v>
      </c>
      <c r="G36" s="6" t="s">
        <v>23</v>
      </c>
      <c r="H36" s="6">
        <v>1</v>
      </c>
      <c r="I36" s="6">
        <v>0.09</v>
      </c>
      <c r="J36" s="17">
        <f>PI()*(I36/2)^2</f>
        <v>6.3617251235193305E-3</v>
      </c>
      <c r="K36" s="6">
        <v>0</v>
      </c>
      <c r="L36" s="17"/>
      <c r="M36" s="17"/>
      <c r="N36" s="12">
        <v>1200</v>
      </c>
      <c r="O36" s="12">
        <v>1580</v>
      </c>
      <c r="P36" s="9">
        <f t="shared" si="5"/>
        <v>380</v>
      </c>
      <c r="Q36" s="10">
        <f t="shared" si="6"/>
        <v>4.1578947368421053</v>
      </c>
    </row>
    <row r="37" spans="1:17" x14ac:dyDescent="0.2">
      <c r="A37" s="6" t="s">
        <v>14</v>
      </c>
      <c r="B37" s="7">
        <f>DATE(2016, 5,20)</f>
        <v>42510</v>
      </c>
      <c r="C37" s="6">
        <v>2016141</v>
      </c>
      <c r="D37" s="6">
        <f>67+(28.744/60)</f>
        <v>67.479066666666668</v>
      </c>
      <c r="E37" s="6">
        <f>-(63+(47.329/60))</f>
        <v>-63.788816666666669</v>
      </c>
      <c r="F37" s="6" t="s">
        <v>18</v>
      </c>
      <c r="G37" s="6" t="s">
        <v>24</v>
      </c>
      <c r="H37" s="6"/>
      <c r="I37" s="6"/>
      <c r="J37" s="17"/>
      <c r="K37" s="6">
        <v>3</v>
      </c>
      <c r="L37" s="6">
        <v>0.14000000000000001</v>
      </c>
      <c r="M37" s="17">
        <f>PI()*(L37/2)^2</f>
        <v>1.5393804002589988E-2</v>
      </c>
      <c r="N37" s="8">
        <v>9000</v>
      </c>
      <c r="O37" s="8">
        <v>9508</v>
      </c>
      <c r="P37" s="9">
        <f t="shared" si="5"/>
        <v>508</v>
      </c>
      <c r="Q37" s="10">
        <f t="shared" si="6"/>
        <v>18.716535433070867</v>
      </c>
    </row>
    <row r="38" spans="1:17" x14ac:dyDescent="0.2">
      <c r="A38" s="6" t="s">
        <v>14</v>
      </c>
      <c r="B38" s="7">
        <f>DATE(2016, 5,20)</f>
        <v>42510</v>
      </c>
      <c r="C38" s="6">
        <v>2016141</v>
      </c>
      <c r="D38" s="6">
        <f>67+(28.744/60)</f>
        <v>67.479066666666668</v>
      </c>
      <c r="E38" s="6">
        <f>-(63+(47.329/60))</f>
        <v>-63.788816666666669</v>
      </c>
      <c r="F38" s="6" t="s">
        <v>18</v>
      </c>
      <c r="G38" s="6" t="s">
        <v>24</v>
      </c>
      <c r="H38" s="6"/>
      <c r="I38" s="6"/>
      <c r="J38" s="17"/>
      <c r="K38" s="6">
        <v>3</v>
      </c>
      <c r="L38" s="6">
        <v>0.14000000000000001</v>
      </c>
      <c r="M38" s="17">
        <f>PI()*(L38/2)^2</f>
        <v>1.5393804002589988E-2</v>
      </c>
      <c r="N38" s="8">
        <v>9000</v>
      </c>
      <c r="O38" s="8">
        <v>9508</v>
      </c>
      <c r="P38" s="9">
        <f t="shared" si="5"/>
        <v>508</v>
      </c>
      <c r="Q38" s="10">
        <f t="shared" si="6"/>
        <v>18.716535433070867</v>
      </c>
    </row>
    <row r="39" spans="1:17" x14ac:dyDescent="0.2">
      <c r="A39" s="6" t="s">
        <v>14</v>
      </c>
      <c r="B39" s="7">
        <f>DATE(2016, 5,20)</f>
        <v>42510</v>
      </c>
      <c r="C39" s="6">
        <v>2016141</v>
      </c>
      <c r="D39" s="6">
        <f>67+(28.744/60)</f>
        <v>67.479066666666668</v>
      </c>
      <c r="E39" s="6">
        <f>-(63+(47.329/60))</f>
        <v>-63.788816666666669</v>
      </c>
      <c r="F39" s="6" t="s">
        <v>15</v>
      </c>
      <c r="G39" s="6" t="s">
        <v>22</v>
      </c>
      <c r="H39" s="6"/>
      <c r="I39" s="6"/>
      <c r="J39" s="17"/>
      <c r="K39" s="6">
        <v>3</v>
      </c>
      <c r="L39" s="6">
        <v>0.14000000000000001</v>
      </c>
      <c r="M39" s="17">
        <f>PI()*(L39/2)^2</f>
        <v>1.5393804002589988E-2</v>
      </c>
      <c r="N39" s="8">
        <v>5300</v>
      </c>
      <c r="O39" s="8">
        <v>6880</v>
      </c>
      <c r="P39" s="9">
        <f t="shared" si="5"/>
        <v>1580</v>
      </c>
      <c r="Q39" s="10">
        <f t="shared" si="6"/>
        <v>4.3544303797468356</v>
      </c>
    </row>
    <row r="40" spans="1:17" x14ac:dyDescent="0.2">
      <c r="A40" s="6" t="s">
        <v>14</v>
      </c>
      <c r="B40" s="7">
        <f>DATE(2016, 5,20)</f>
        <v>42510</v>
      </c>
      <c r="C40" s="6">
        <v>2016141</v>
      </c>
      <c r="D40" s="6">
        <f>67+(28.744/60)</f>
        <v>67.479066666666668</v>
      </c>
      <c r="E40" s="6">
        <f>-(63+(47.329/60))</f>
        <v>-63.788816666666669</v>
      </c>
      <c r="F40" s="6" t="s">
        <v>15</v>
      </c>
      <c r="G40" s="6" t="s">
        <v>23</v>
      </c>
      <c r="H40" s="6"/>
      <c r="I40" s="6"/>
      <c r="J40" s="17"/>
      <c r="K40" s="6">
        <v>3</v>
      </c>
      <c r="L40" s="6">
        <v>0.14000000000000001</v>
      </c>
      <c r="M40" s="17">
        <f>PI()*(L40/2)^2</f>
        <v>1.5393804002589988E-2</v>
      </c>
      <c r="N40" s="8">
        <v>12400</v>
      </c>
      <c r="O40" s="8">
        <v>16680</v>
      </c>
      <c r="P40" s="9">
        <f t="shared" si="5"/>
        <v>4280</v>
      </c>
      <c r="Q40" s="10">
        <f t="shared" si="6"/>
        <v>3.8971962616822431</v>
      </c>
    </row>
    <row r="41" spans="1:17" x14ac:dyDescent="0.2">
      <c r="A41" s="6" t="s">
        <v>14</v>
      </c>
      <c r="B41" s="7">
        <v>42510</v>
      </c>
      <c r="C41" s="6">
        <v>2016141</v>
      </c>
      <c r="D41" s="6">
        <v>67.479066666666668</v>
      </c>
      <c r="E41" s="6">
        <v>-63.788816666666669</v>
      </c>
      <c r="F41" s="6" t="s">
        <v>25</v>
      </c>
      <c r="G41" s="6" t="s">
        <v>22</v>
      </c>
      <c r="H41" s="6">
        <v>1</v>
      </c>
      <c r="I41" s="6">
        <v>0.09</v>
      </c>
      <c r="J41" s="17">
        <f>PI()*(I41/2)^2</f>
        <v>6.3617251235193305E-3</v>
      </c>
      <c r="K41" s="6">
        <v>0</v>
      </c>
      <c r="L41" s="17"/>
      <c r="M41" s="17"/>
      <c r="N41" s="12">
        <v>515</v>
      </c>
      <c r="O41" s="12">
        <v>660</v>
      </c>
      <c r="P41" s="9">
        <f t="shared" si="5"/>
        <v>145</v>
      </c>
      <c r="Q41" s="10">
        <f t="shared" si="6"/>
        <v>4.5517241379310347</v>
      </c>
    </row>
    <row r="42" spans="1:17" x14ac:dyDescent="0.2">
      <c r="A42" s="6" t="s">
        <v>14</v>
      </c>
      <c r="B42" s="7">
        <v>42510</v>
      </c>
      <c r="C42" s="6">
        <v>2016141</v>
      </c>
      <c r="D42" s="6">
        <v>67.479066666666668</v>
      </c>
      <c r="E42" s="6">
        <v>-63.788816666666669</v>
      </c>
      <c r="F42" s="6" t="s">
        <v>25</v>
      </c>
      <c r="G42" s="6" t="s">
        <v>23</v>
      </c>
      <c r="H42" s="6">
        <v>1</v>
      </c>
      <c r="I42" s="6">
        <v>0.09</v>
      </c>
      <c r="J42" s="17">
        <f>PI()*(I42/2)^2</f>
        <v>6.3617251235193305E-3</v>
      </c>
      <c r="K42" s="6">
        <v>0</v>
      </c>
      <c r="L42" s="17"/>
      <c r="M42" s="17"/>
      <c r="N42" s="12">
        <v>1200</v>
      </c>
      <c r="O42" s="12">
        <v>1590</v>
      </c>
      <c r="P42" s="9">
        <f t="shared" si="5"/>
        <v>390</v>
      </c>
      <c r="Q42" s="10">
        <f t="shared" si="6"/>
        <v>4.0769230769230766</v>
      </c>
    </row>
    <row r="43" spans="1:17" x14ac:dyDescent="0.2">
      <c r="A43" s="6" t="s">
        <v>14</v>
      </c>
      <c r="B43" s="7">
        <f>DATE(2016, 5,23)</f>
        <v>42513</v>
      </c>
      <c r="C43" s="6">
        <v>2016144</v>
      </c>
      <c r="D43" s="6">
        <f>67+(28.744/60)</f>
        <v>67.479066666666668</v>
      </c>
      <c r="E43" s="6">
        <f>-(63+(47.313/60))</f>
        <v>-63.788550000000001</v>
      </c>
      <c r="F43" s="6" t="s">
        <v>18</v>
      </c>
      <c r="G43" s="6" t="s">
        <v>24</v>
      </c>
      <c r="H43" s="6"/>
      <c r="I43" s="6"/>
      <c r="J43" s="17"/>
      <c r="K43" s="6">
        <v>3</v>
      </c>
      <c r="L43" s="6">
        <v>0.14000000000000001</v>
      </c>
      <c r="M43" s="17">
        <f>PI()*(L43/2)^2</f>
        <v>1.5393804002589988E-2</v>
      </c>
      <c r="N43" s="8">
        <v>8000</v>
      </c>
      <c r="O43" s="8">
        <v>8578</v>
      </c>
      <c r="P43" s="9">
        <f t="shared" si="5"/>
        <v>578</v>
      </c>
      <c r="Q43" s="10">
        <f t="shared" si="6"/>
        <v>14.84083044982699</v>
      </c>
    </row>
    <row r="44" spans="1:17" x14ac:dyDescent="0.2">
      <c r="A44" s="6" t="s">
        <v>14</v>
      </c>
      <c r="B44" s="7">
        <f>DATE(2016, 5,23)</f>
        <v>42513</v>
      </c>
      <c r="C44" s="6">
        <v>2016144</v>
      </c>
      <c r="D44" s="6">
        <f>67+(28.744/60)</f>
        <v>67.479066666666668</v>
      </c>
      <c r="E44" s="6">
        <f>-(63+(47.313/60))</f>
        <v>-63.788550000000001</v>
      </c>
      <c r="F44" s="6" t="s">
        <v>15</v>
      </c>
      <c r="G44" s="6" t="s">
        <v>22</v>
      </c>
      <c r="H44" s="6"/>
      <c r="I44" s="6"/>
      <c r="J44" s="17"/>
      <c r="K44" s="6">
        <v>4</v>
      </c>
      <c r="L44" s="6">
        <v>0.14000000000000001</v>
      </c>
      <c r="M44" s="17">
        <f>PI()*(L44/2)^2</f>
        <v>1.5393804002589988E-2</v>
      </c>
      <c r="N44" s="8">
        <v>5300</v>
      </c>
      <c r="O44" s="8">
        <v>7530</v>
      </c>
      <c r="P44" s="9">
        <f t="shared" si="5"/>
        <v>2230</v>
      </c>
      <c r="Q44" s="10">
        <f t="shared" si="6"/>
        <v>3.376681614349776</v>
      </c>
    </row>
    <row r="45" spans="1:17" x14ac:dyDescent="0.2">
      <c r="A45" s="6" t="s">
        <v>14</v>
      </c>
      <c r="B45" s="7">
        <f>DATE(2016, 5,23)</f>
        <v>42513</v>
      </c>
      <c r="C45" s="6">
        <v>2016144</v>
      </c>
      <c r="D45" s="6">
        <f>67+(28.744/60)</f>
        <v>67.479066666666668</v>
      </c>
      <c r="E45" s="6">
        <f>-(63+(47.313/60))</f>
        <v>-63.788550000000001</v>
      </c>
      <c r="F45" s="6" t="s">
        <v>15</v>
      </c>
      <c r="G45" s="6" t="s">
        <v>23</v>
      </c>
      <c r="H45" s="6"/>
      <c r="I45" s="6"/>
      <c r="J45" s="17"/>
      <c r="K45" s="6">
        <v>4</v>
      </c>
      <c r="L45" s="6">
        <v>0.14000000000000001</v>
      </c>
      <c r="M45" s="17">
        <f>PI()*(L45/2)^2</f>
        <v>1.5393804002589988E-2</v>
      </c>
      <c r="N45" s="8">
        <v>12400</v>
      </c>
      <c r="O45" s="8">
        <v>17760</v>
      </c>
      <c r="P45" s="9">
        <f t="shared" si="5"/>
        <v>5360</v>
      </c>
      <c r="Q45" s="10">
        <f t="shared" si="6"/>
        <v>3.3134328358208953</v>
      </c>
    </row>
    <row r="46" spans="1:17" x14ac:dyDescent="0.2">
      <c r="A46" s="6" t="s">
        <v>14</v>
      </c>
      <c r="B46" s="7">
        <v>42513</v>
      </c>
      <c r="C46" s="6">
        <v>2016144</v>
      </c>
      <c r="D46" s="6">
        <v>67.479066666666668</v>
      </c>
      <c r="E46" s="6">
        <v>-63.788550000000001</v>
      </c>
      <c r="F46" s="6" t="s">
        <v>25</v>
      </c>
      <c r="G46" s="6" t="s">
        <v>22</v>
      </c>
      <c r="H46" s="6">
        <v>1</v>
      </c>
      <c r="I46" s="6">
        <v>0.09</v>
      </c>
      <c r="J46" s="17">
        <f>PI()*(I46/2)^2</f>
        <v>6.3617251235193305E-3</v>
      </c>
      <c r="K46" s="6">
        <v>0</v>
      </c>
      <c r="L46" s="17"/>
      <c r="M46" s="17"/>
      <c r="N46" s="12">
        <v>515</v>
      </c>
      <c r="O46" s="12">
        <v>700</v>
      </c>
      <c r="P46" s="9">
        <f t="shared" si="5"/>
        <v>185</v>
      </c>
      <c r="Q46" s="10">
        <f t="shared" si="6"/>
        <v>3.7837837837837838</v>
      </c>
    </row>
    <row r="47" spans="1:17" x14ac:dyDescent="0.2">
      <c r="A47" s="6" t="s">
        <v>14</v>
      </c>
      <c r="B47" s="7">
        <v>42513</v>
      </c>
      <c r="C47" s="6">
        <v>2016144</v>
      </c>
      <c r="D47" s="6">
        <v>67.479066666666668</v>
      </c>
      <c r="E47" s="6">
        <v>-63.788550000000001</v>
      </c>
      <c r="F47" s="6" t="s">
        <v>25</v>
      </c>
      <c r="G47" s="6" t="s">
        <v>23</v>
      </c>
      <c r="H47" s="6">
        <v>1</v>
      </c>
      <c r="I47" s="6">
        <v>0.09</v>
      </c>
      <c r="J47" s="17">
        <f>PI()*(I47/2)^2</f>
        <v>6.3617251235193305E-3</v>
      </c>
      <c r="K47" s="6">
        <v>0</v>
      </c>
      <c r="L47" s="17"/>
      <c r="M47" s="17"/>
      <c r="N47" s="12">
        <v>1200</v>
      </c>
      <c r="O47" s="12">
        <v>1575</v>
      </c>
      <c r="P47" s="9">
        <f t="shared" si="5"/>
        <v>375</v>
      </c>
      <c r="Q47" s="10">
        <f t="shared" si="6"/>
        <v>4.2</v>
      </c>
    </row>
    <row r="48" spans="1:17" x14ac:dyDescent="0.2">
      <c r="A48" s="6" t="s">
        <v>14</v>
      </c>
      <c r="B48" s="7">
        <f>DATE(2016, 5,25)</f>
        <v>42515</v>
      </c>
      <c r="C48" s="6">
        <v>2016146</v>
      </c>
      <c r="D48" s="6">
        <f>67+(28.738/60)</f>
        <v>67.478966666666665</v>
      </c>
      <c r="E48" s="6">
        <f>-(63+(47.326/60))</f>
        <v>-63.788766666666668</v>
      </c>
      <c r="F48" s="6" t="s">
        <v>18</v>
      </c>
      <c r="G48" s="6" t="s">
        <v>24</v>
      </c>
      <c r="H48" s="6">
        <v>3</v>
      </c>
      <c r="I48" s="6">
        <v>0.09</v>
      </c>
      <c r="J48" s="17">
        <f>PI()*(I48/2)^2</f>
        <v>6.3617251235193305E-3</v>
      </c>
      <c r="K48" s="6">
        <v>0</v>
      </c>
      <c r="L48" s="6"/>
      <c r="M48" s="17"/>
      <c r="N48" s="8">
        <v>8000</v>
      </c>
      <c r="O48" s="8">
        <v>8080</v>
      </c>
      <c r="P48" s="9">
        <f t="shared" si="5"/>
        <v>80</v>
      </c>
      <c r="Q48" s="10">
        <f t="shared" si="6"/>
        <v>101</v>
      </c>
    </row>
    <row r="49" spans="1:17" s="26" customFormat="1" x14ac:dyDescent="0.2">
      <c r="A49" s="20" t="s">
        <v>14</v>
      </c>
      <c r="B49" s="21">
        <f>DATE(2016, 5,25)</f>
        <v>42515</v>
      </c>
      <c r="C49" s="20">
        <v>2016146</v>
      </c>
      <c r="D49" s="20">
        <f>67+(28.738/60)</f>
        <v>67.478966666666665</v>
      </c>
      <c r="E49" s="20">
        <f>-(63+(47.326/60))</f>
        <v>-63.788766666666668</v>
      </c>
      <c r="F49" s="20" t="s">
        <v>15</v>
      </c>
      <c r="G49" s="20" t="s">
        <v>22</v>
      </c>
      <c r="H49" s="20"/>
      <c r="I49" s="20"/>
      <c r="J49" s="22"/>
      <c r="K49" s="20">
        <v>4</v>
      </c>
      <c r="L49" s="20">
        <v>0.14000000000000001</v>
      </c>
      <c r="M49" s="22">
        <f>PI()*(L49/2)^2</f>
        <v>1.5393804002589988E-2</v>
      </c>
      <c r="N49" s="23">
        <v>4000</v>
      </c>
      <c r="O49" s="23">
        <v>5720</v>
      </c>
      <c r="P49" s="24">
        <f t="shared" si="5"/>
        <v>1720</v>
      </c>
      <c r="Q49" s="25">
        <f t="shared" si="6"/>
        <v>3.3255813953488373</v>
      </c>
    </row>
    <row r="50" spans="1:17" s="26" customFormat="1" x14ac:dyDescent="0.2">
      <c r="A50" s="20" t="s">
        <v>14</v>
      </c>
      <c r="B50" s="21">
        <f>DATE(2016, 5,25)</f>
        <v>42515</v>
      </c>
      <c r="C50" s="20">
        <v>2016146</v>
      </c>
      <c r="D50" s="20">
        <f>67+(28.738/60)</f>
        <v>67.478966666666665</v>
      </c>
      <c r="E50" s="20">
        <f>-(63+(47.326/60))</f>
        <v>-63.788766666666668</v>
      </c>
      <c r="F50" s="20" t="s">
        <v>15</v>
      </c>
      <c r="G50" s="20" t="s">
        <v>23</v>
      </c>
      <c r="H50" s="20"/>
      <c r="I50" s="20"/>
      <c r="J50" s="22"/>
      <c r="K50" s="20">
        <v>4</v>
      </c>
      <c r="L50" s="20">
        <v>0.14000000000000001</v>
      </c>
      <c r="M50" s="22">
        <f>PI()*(L50/2)^2</f>
        <v>1.5393804002589988E-2</v>
      </c>
      <c r="N50" s="23">
        <v>9300</v>
      </c>
      <c r="O50" s="23">
        <v>12740</v>
      </c>
      <c r="P50" s="24">
        <f t="shared" si="5"/>
        <v>3440</v>
      </c>
      <c r="Q50" s="25">
        <f t="shared" si="6"/>
        <v>3.7034883720930232</v>
      </c>
    </row>
    <row r="51" spans="1:17" x14ac:dyDescent="0.2">
      <c r="A51" s="6" t="s">
        <v>14</v>
      </c>
      <c r="B51" s="7">
        <v>42515</v>
      </c>
      <c r="C51" s="6">
        <v>2016146</v>
      </c>
      <c r="D51" s="6">
        <f>67+(28.738/60)</f>
        <v>67.478966666666665</v>
      </c>
      <c r="E51" s="6">
        <f>-(63+(47.326/60))</f>
        <v>-63.788766666666668</v>
      </c>
      <c r="F51" s="6" t="s">
        <v>25</v>
      </c>
      <c r="G51" s="6" t="s">
        <v>22</v>
      </c>
      <c r="H51" s="6">
        <v>1</v>
      </c>
      <c r="I51" s="6">
        <v>0.09</v>
      </c>
      <c r="J51" s="17">
        <f>PI()*(I51/2)^2</f>
        <v>6.3617251235193305E-3</v>
      </c>
      <c r="K51" s="6">
        <v>0</v>
      </c>
      <c r="L51" s="17"/>
      <c r="M51" s="17"/>
      <c r="N51" s="12">
        <v>515</v>
      </c>
      <c r="O51" s="12">
        <v>680</v>
      </c>
      <c r="P51" s="9">
        <f t="shared" si="5"/>
        <v>165</v>
      </c>
      <c r="Q51" s="10">
        <f t="shared" si="6"/>
        <v>4.1212121212121211</v>
      </c>
    </row>
    <row r="52" spans="1:17" x14ac:dyDescent="0.2">
      <c r="A52" s="6" t="s">
        <v>14</v>
      </c>
      <c r="B52" s="7">
        <v>42515</v>
      </c>
      <c r="C52" s="6">
        <v>2016146</v>
      </c>
      <c r="D52" s="6">
        <f>67+(28.738/60)</f>
        <v>67.478966666666665</v>
      </c>
      <c r="E52" s="6">
        <f>-(63+(47.326/60))</f>
        <v>-63.788766666666668</v>
      </c>
      <c r="F52" s="6" t="s">
        <v>25</v>
      </c>
      <c r="G52" s="6" t="s">
        <v>23</v>
      </c>
      <c r="H52" s="6">
        <v>1</v>
      </c>
      <c r="I52" s="6">
        <v>0.09</v>
      </c>
      <c r="J52" s="17">
        <f>PI()*(I52/2)^2</f>
        <v>6.3617251235193305E-3</v>
      </c>
      <c r="K52" s="6">
        <v>0</v>
      </c>
      <c r="L52" s="17"/>
      <c r="M52" s="17"/>
      <c r="N52" s="12">
        <v>1200</v>
      </c>
      <c r="O52" s="12">
        <v>1620</v>
      </c>
      <c r="P52" s="9">
        <f t="shared" si="5"/>
        <v>420</v>
      </c>
      <c r="Q52" s="10">
        <f t="shared" si="6"/>
        <v>3.8571428571428572</v>
      </c>
    </row>
    <row r="53" spans="1:17" x14ac:dyDescent="0.2">
      <c r="A53" s="6" t="s">
        <v>14</v>
      </c>
      <c r="B53" s="7">
        <f>DATE(2016, 5,27)</f>
        <v>42517</v>
      </c>
      <c r="C53" s="6">
        <v>2016148</v>
      </c>
      <c r="D53" s="6">
        <f>67+(28.737/60)</f>
        <v>67.478949999999998</v>
      </c>
      <c r="E53" s="6">
        <f>-(63+(47.315/60))</f>
        <v>-63.788583333333335</v>
      </c>
      <c r="F53" s="6" t="s">
        <v>18</v>
      </c>
      <c r="G53" s="6" t="s">
        <v>24</v>
      </c>
      <c r="H53" s="6"/>
      <c r="I53" s="6"/>
      <c r="J53" s="17"/>
      <c r="K53" s="6">
        <v>3</v>
      </c>
      <c r="L53" s="6">
        <v>0.14000000000000001</v>
      </c>
      <c r="M53" s="17">
        <f>PI()*(L53/2)^2</f>
        <v>1.5393804002589988E-2</v>
      </c>
      <c r="N53" s="8">
        <v>8000</v>
      </c>
      <c r="O53" s="8">
        <v>8660</v>
      </c>
      <c r="P53" s="9">
        <f t="shared" si="5"/>
        <v>660</v>
      </c>
      <c r="Q53" s="10">
        <f t="shared" si="6"/>
        <v>13.121212121212121</v>
      </c>
    </row>
    <row r="54" spans="1:17" s="26" customFormat="1" x14ac:dyDescent="0.2">
      <c r="A54" s="20" t="s">
        <v>14</v>
      </c>
      <c r="B54" s="21">
        <f>DATE(2016, 5,27)</f>
        <v>42517</v>
      </c>
      <c r="C54" s="20">
        <v>2016148</v>
      </c>
      <c r="D54" s="20">
        <f>67+(28.737/60)</f>
        <v>67.478949999999998</v>
      </c>
      <c r="E54" s="20">
        <f>-(63+(47.315/60))</f>
        <v>-63.788583333333335</v>
      </c>
      <c r="F54" s="20" t="s">
        <v>15</v>
      </c>
      <c r="G54" s="20" t="s">
        <v>22</v>
      </c>
      <c r="H54" s="20"/>
      <c r="I54" s="20"/>
      <c r="J54" s="22"/>
      <c r="K54" s="20">
        <v>4</v>
      </c>
      <c r="L54" s="20">
        <v>0.14000000000000001</v>
      </c>
      <c r="M54" s="22">
        <f>PI()*(L54/2)^2</f>
        <v>1.5393804002589988E-2</v>
      </c>
      <c r="N54" s="23">
        <v>5300</v>
      </c>
      <c r="O54" s="23">
        <v>7200</v>
      </c>
      <c r="P54" s="24">
        <f t="shared" si="5"/>
        <v>1900</v>
      </c>
      <c r="Q54" s="25">
        <f t="shared" si="6"/>
        <v>3.7894736842105261</v>
      </c>
    </row>
    <row r="55" spans="1:17" s="26" customFormat="1" x14ac:dyDescent="0.2">
      <c r="A55" s="20" t="s">
        <v>14</v>
      </c>
      <c r="B55" s="21">
        <f>DATE(2016, 5,27)</f>
        <v>42517</v>
      </c>
      <c r="C55" s="20">
        <v>2016148</v>
      </c>
      <c r="D55" s="20">
        <f>67+(28.737/60)</f>
        <v>67.478949999999998</v>
      </c>
      <c r="E55" s="20">
        <f>-(63+(47.315/60))</f>
        <v>-63.788583333333335</v>
      </c>
      <c r="F55" s="20" t="s">
        <v>15</v>
      </c>
      <c r="G55" s="20" t="s">
        <v>23</v>
      </c>
      <c r="H55" s="20"/>
      <c r="I55" s="20"/>
      <c r="J55" s="22"/>
      <c r="K55" s="20">
        <v>4</v>
      </c>
      <c r="L55" s="20">
        <v>0.14000000000000001</v>
      </c>
      <c r="M55" s="22">
        <f>PI()*(L55/2)^2</f>
        <v>1.5393804002589988E-2</v>
      </c>
      <c r="N55" s="23">
        <v>12400</v>
      </c>
      <c r="O55" s="23">
        <v>16152</v>
      </c>
      <c r="P55" s="24">
        <f t="shared" si="5"/>
        <v>3752</v>
      </c>
      <c r="Q55" s="25">
        <f t="shared" si="6"/>
        <v>4.3049040511727075</v>
      </c>
    </row>
    <row r="56" spans="1:17" x14ac:dyDescent="0.2">
      <c r="A56" s="6" t="s">
        <v>14</v>
      </c>
      <c r="B56" s="7">
        <v>42517</v>
      </c>
      <c r="C56" s="6">
        <v>2016148</v>
      </c>
      <c r="D56" s="6">
        <v>67.478949999999998</v>
      </c>
      <c r="E56" s="6">
        <v>-63.788583333333335</v>
      </c>
      <c r="F56" s="6" t="s">
        <v>25</v>
      </c>
      <c r="G56" s="6" t="s">
        <v>22</v>
      </c>
      <c r="H56" s="6">
        <v>1</v>
      </c>
      <c r="I56" s="6">
        <v>0.09</v>
      </c>
      <c r="J56" s="17">
        <f>PI()*(I56/2)^2</f>
        <v>6.3617251235193305E-3</v>
      </c>
      <c r="K56" s="6">
        <v>0</v>
      </c>
      <c r="L56" s="17"/>
      <c r="M56" s="17"/>
      <c r="N56" s="12">
        <v>515</v>
      </c>
      <c r="O56" s="12">
        <v>735</v>
      </c>
      <c r="P56" s="9">
        <f t="shared" si="5"/>
        <v>220</v>
      </c>
      <c r="Q56" s="10">
        <f t="shared" si="6"/>
        <v>3.3409090909090908</v>
      </c>
    </row>
    <row r="57" spans="1:17" x14ac:dyDescent="0.2">
      <c r="A57" s="6" t="s">
        <v>14</v>
      </c>
      <c r="B57" s="7">
        <v>42517</v>
      </c>
      <c r="C57" s="6">
        <v>2016148</v>
      </c>
      <c r="D57" s="6">
        <v>67.478949999999998</v>
      </c>
      <c r="E57" s="6">
        <v>-63.788583333333335</v>
      </c>
      <c r="F57" s="6" t="s">
        <v>25</v>
      </c>
      <c r="G57" s="6" t="s">
        <v>23</v>
      </c>
      <c r="H57" s="6">
        <v>1</v>
      </c>
      <c r="I57" s="6">
        <v>0.09</v>
      </c>
      <c r="J57" s="17">
        <f>PI()*(I57/2)^2</f>
        <v>6.3617251235193305E-3</v>
      </c>
      <c r="K57" s="6">
        <v>0</v>
      </c>
      <c r="L57" s="17"/>
      <c r="M57" s="17"/>
      <c r="N57" s="12">
        <v>1200</v>
      </c>
      <c r="O57" s="12">
        <v>1620</v>
      </c>
      <c r="P57" s="9">
        <f t="shared" si="5"/>
        <v>420</v>
      </c>
      <c r="Q57" s="10">
        <f t="shared" si="6"/>
        <v>3.8571428571428572</v>
      </c>
    </row>
    <row r="58" spans="1:17" x14ac:dyDescent="0.2">
      <c r="A58" s="6" t="s">
        <v>14</v>
      </c>
      <c r="B58" s="7">
        <f>DATE(2016, 5,30)</f>
        <v>42520</v>
      </c>
      <c r="C58" s="6">
        <v>2016151</v>
      </c>
      <c r="D58" s="6">
        <f>67+(28.735/60)</f>
        <v>67.478916666666663</v>
      </c>
      <c r="E58" s="6">
        <f>-(63+(47.262/60))</f>
        <v>-63.787700000000001</v>
      </c>
      <c r="F58" s="6" t="s">
        <v>18</v>
      </c>
      <c r="G58" s="6" t="s">
        <v>24</v>
      </c>
      <c r="H58" s="6">
        <v>1</v>
      </c>
      <c r="I58" s="6">
        <v>0.09</v>
      </c>
      <c r="J58" s="17">
        <f>PI()*(I58/2)^2</f>
        <v>6.3617251235193305E-3</v>
      </c>
      <c r="K58" s="6">
        <v>2</v>
      </c>
      <c r="L58" s="6">
        <v>0.14000000000000001</v>
      </c>
      <c r="M58" s="17">
        <f>PI()*(L58/2)^2</f>
        <v>1.5393804002589988E-2</v>
      </c>
      <c r="N58" s="8">
        <v>8000</v>
      </c>
      <c r="O58" s="8">
        <v>8434</v>
      </c>
      <c r="P58" s="9">
        <f t="shared" si="5"/>
        <v>434</v>
      </c>
      <c r="Q58" s="10">
        <f t="shared" si="6"/>
        <v>19.433179723502302</v>
      </c>
    </row>
    <row r="59" spans="1:17" s="26" customFormat="1" x14ac:dyDescent="0.2">
      <c r="A59" s="20" t="s">
        <v>14</v>
      </c>
      <c r="B59" s="21">
        <f>DATE(2016, 5,30)</f>
        <v>42520</v>
      </c>
      <c r="C59" s="20">
        <v>2016151</v>
      </c>
      <c r="D59" s="20">
        <f>67+(28.735/60)</f>
        <v>67.478916666666663</v>
      </c>
      <c r="E59" s="20">
        <f>-(63+(47.262/60))</f>
        <v>-63.787700000000001</v>
      </c>
      <c r="F59" s="20" t="s">
        <v>15</v>
      </c>
      <c r="G59" s="20" t="s">
        <v>22</v>
      </c>
      <c r="H59" s="20"/>
      <c r="I59" s="20"/>
      <c r="J59" s="22"/>
      <c r="K59" s="20">
        <v>4</v>
      </c>
      <c r="L59" s="20">
        <v>0.14000000000000001</v>
      </c>
      <c r="M59" s="22">
        <f>PI()*(L59/2)^2</f>
        <v>1.5393804002589988E-2</v>
      </c>
      <c r="N59" s="23">
        <v>5300</v>
      </c>
      <c r="O59" s="23">
        <v>6890</v>
      </c>
      <c r="P59" s="24">
        <f t="shared" si="5"/>
        <v>1590</v>
      </c>
      <c r="Q59" s="25">
        <f t="shared" si="6"/>
        <v>4.333333333333333</v>
      </c>
    </row>
    <row r="60" spans="1:17" s="26" customFormat="1" x14ac:dyDescent="0.2">
      <c r="A60" s="20" t="s">
        <v>14</v>
      </c>
      <c r="B60" s="21">
        <f>DATE(2016, 5,30)</f>
        <v>42520</v>
      </c>
      <c r="C60" s="20">
        <v>2016151</v>
      </c>
      <c r="D60" s="20">
        <f>67+(28.735/60)</f>
        <v>67.478916666666663</v>
      </c>
      <c r="E60" s="20">
        <f>-(63+(47.262/60))</f>
        <v>-63.787700000000001</v>
      </c>
      <c r="F60" s="20" t="s">
        <v>15</v>
      </c>
      <c r="G60" s="20" t="s">
        <v>23</v>
      </c>
      <c r="H60" s="20"/>
      <c r="I60" s="20"/>
      <c r="J60" s="22"/>
      <c r="K60" s="20">
        <v>4</v>
      </c>
      <c r="L60" s="20">
        <v>0.14000000000000001</v>
      </c>
      <c r="M60" s="22">
        <f>PI()*(L60/2)^2</f>
        <v>1.5393804002589988E-2</v>
      </c>
      <c r="N60" s="23">
        <v>12400</v>
      </c>
      <c r="O60" s="23">
        <v>16030</v>
      </c>
      <c r="P60" s="24">
        <f t="shared" si="5"/>
        <v>3630</v>
      </c>
      <c r="Q60" s="25">
        <f t="shared" si="6"/>
        <v>4.4159779614325068</v>
      </c>
    </row>
    <row r="61" spans="1:17" x14ac:dyDescent="0.2">
      <c r="A61" s="6" t="s">
        <v>14</v>
      </c>
      <c r="B61" s="7">
        <v>42520</v>
      </c>
      <c r="C61" s="6">
        <v>2016151</v>
      </c>
      <c r="D61" s="6">
        <v>67.478916666666663</v>
      </c>
      <c r="E61" s="6">
        <v>-63.787700000000001</v>
      </c>
      <c r="F61" s="6" t="s">
        <v>25</v>
      </c>
      <c r="G61" s="6" t="s">
        <v>22</v>
      </c>
      <c r="H61" s="6">
        <v>1</v>
      </c>
      <c r="I61" s="6">
        <v>0.09</v>
      </c>
      <c r="J61" s="17">
        <f>PI()*(I61/2)^2</f>
        <v>6.3617251235193305E-3</v>
      </c>
      <c r="K61" s="6">
        <v>0</v>
      </c>
      <c r="L61" s="17"/>
      <c r="M61" s="17"/>
      <c r="N61" s="12">
        <v>515</v>
      </c>
      <c r="O61" s="12">
        <v>680</v>
      </c>
      <c r="P61" s="9">
        <f t="shared" si="5"/>
        <v>165</v>
      </c>
      <c r="Q61" s="10">
        <f t="shared" si="6"/>
        <v>4.1212121212121211</v>
      </c>
    </row>
    <row r="62" spans="1:17" x14ac:dyDescent="0.2">
      <c r="A62" s="6" t="s">
        <v>14</v>
      </c>
      <c r="B62" s="7">
        <v>42520</v>
      </c>
      <c r="C62" s="6">
        <v>2016151</v>
      </c>
      <c r="D62" s="6">
        <v>67.478916666666663</v>
      </c>
      <c r="E62" s="6">
        <v>-63.787700000000001</v>
      </c>
      <c r="F62" s="6" t="s">
        <v>25</v>
      </c>
      <c r="G62" s="6" t="s">
        <v>23</v>
      </c>
      <c r="H62" s="6">
        <v>1</v>
      </c>
      <c r="I62" s="6">
        <v>0.09</v>
      </c>
      <c r="J62" s="17">
        <f>PI()*(I62/2)^2</f>
        <v>6.3617251235193305E-3</v>
      </c>
      <c r="K62" s="6">
        <v>0</v>
      </c>
      <c r="L62" s="17"/>
      <c r="M62" s="17"/>
      <c r="N62" s="12">
        <v>1200</v>
      </c>
      <c r="O62" s="12">
        <v>1580</v>
      </c>
      <c r="P62" s="9">
        <f t="shared" si="5"/>
        <v>380</v>
      </c>
      <c r="Q62" s="10">
        <f t="shared" si="6"/>
        <v>4.1578947368421053</v>
      </c>
    </row>
    <row r="63" spans="1:17" x14ac:dyDescent="0.2">
      <c r="A63" s="6" t="s">
        <v>14</v>
      </c>
      <c r="B63" s="7">
        <f>DATE(2016, 6,1)</f>
        <v>42522</v>
      </c>
      <c r="C63" s="6">
        <v>2016153</v>
      </c>
      <c r="D63" s="6">
        <f>67+(28.724/60)</f>
        <v>67.478733333333338</v>
      </c>
      <c r="E63" s="6">
        <f>-(63+(47.252/60))</f>
        <v>-63.787533333333336</v>
      </c>
      <c r="F63" s="6" t="s">
        <v>18</v>
      </c>
      <c r="G63" s="6" t="s">
        <v>24</v>
      </c>
      <c r="H63" s="6">
        <v>1</v>
      </c>
      <c r="I63" s="6">
        <v>0.09</v>
      </c>
      <c r="J63" s="17">
        <f>PI()*(I63/2)^2</f>
        <v>6.3617251235193305E-3</v>
      </c>
      <c r="K63" s="6">
        <v>2</v>
      </c>
      <c r="L63" s="6">
        <v>0.14000000000000001</v>
      </c>
      <c r="M63" s="17">
        <f>PI()*(L63/2)^2</f>
        <v>1.5393804002589988E-2</v>
      </c>
      <c r="N63" s="8">
        <v>8000</v>
      </c>
      <c r="O63" s="8">
        <v>8580</v>
      </c>
      <c r="P63" s="9">
        <f t="shared" si="5"/>
        <v>580</v>
      </c>
      <c r="Q63" s="10">
        <f t="shared" si="6"/>
        <v>14.793103448275861</v>
      </c>
    </row>
    <row r="64" spans="1:17" s="26" customFormat="1" x14ac:dyDescent="0.2">
      <c r="A64" s="20" t="s">
        <v>14</v>
      </c>
      <c r="B64" s="21">
        <f>DATE(2016, 6,1)</f>
        <v>42522</v>
      </c>
      <c r="C64" s="20">
        <v>2016153</v>
      </c>
      <c r="D64" s="20">
        <f>67+(28.724/60)</f>
        <v>67.478733333333338</v>
      </c>
      <c r="E64" s="20">
        <f>-(63+(47.252/60))</f>
        <v>-63.787533333333336</v>
      </c>
      <c r="F64" s="20" t="s">
        <v>15</v>
      </c>
      <c r="G64" s="20" t="s">
        <v>22</v>
      </c>
      <c r="H64" s="20"/>
      <c r="I64" s="20"/>
      <c r="J64" s="22"/>
      <c r="K64" s="20">
        <v>4</v>
      </c>
      <c r="L64" s="20">
        <v>0.14000000000000001</v>
      </c>
      <c r="M64" s="22">
        <f>PI()*(L64/2)^2</f>
        <v>1.5393804002589988E-2</v>
      </c>
      <c r="N64" s="23">
        <v>5300</v>
      </c>
      <c r="O64" s="23">
        <v>6985</v>
      </c>
      <c r="P64" s="24">
        <f t="shared" si="5"/>
        <v>1685</v>
      </c>
      <c r="Q64" s="25">
        <f t="shared" si="6"/>
        <v>4.1454005934718099</v>
      </c>
    </row>
    <row r="65" spans="1:17" s="26" customFormat="1" x14ac:dyDescent="0.2">
      <c r="A65" s="20" t="s">
        <v>14</v>
      </c>
      <c r="B65" s="21">
        <f>DATE(2016, 6,1)</f>
        <v>42522</v>
      </c>
      <c r="C65" s="20">
        <v>2016153</v>
      </c>
      <c r="D65" s="20">
        <f>67+(28.724/60)</f>
        <v>67.478733333333338</v>
      </c>
      <c r="E65" s="20">
        <f>-(63+(47.252/60))</f>
        <v>-63.787533333333336</v>
      </c>
      <c r="F65" s="20" t="s">
        <v>15</v>
      </c>
      <c r="G65" s="20" t="s">
        <v>23</v>
      </c>
      <c r="H65" s="20"/>
      <c r="I65" s="20"/>
      <c r="J65" s="22"/>
      <c r="K65" s="20">
        <v>4</v>
      </c>
      <c r="L65" s="20">
        <v>0.14000000000000001</v>
      </c>
      <c r="M65" s="22">
        <f>PI()*(L65/2)^2</f>
        <v>1.5393804002589988E-2</v>
      </c>
      <c r="N65" s="23">
        <v>12400</v>
      </c>
      <c r="O65" s="23">
        <v>16193</v>
      </c>
      <c r="P65" s="24">
        <f t="shared" si="5"/>
        <v>3793</v>
      </c>
      <c r="Q65" s="25">
        <f t="shared" si="6"/>
        <v>4.2691800685473238</v>
      </c>
    </row>
    <row r="66" spans="1:17" x14ac:dyDescent="0.2">
      <c r="A66" s="6" t="s">
        <v>14</v>
      </c>
      <c r="B66" s="7">
        <v>42522</v>
      </c>
      <c r="C66" s="6">
        <v>2016153</v>
      </c>
      <c r="D66" s="6">
        <v>67.478733333333338</v>
      </c>
      <c r="E66" s="6">
        <v>-63.787533333333336</v>
      </c>
      <c r="F66" s="6" t="s">
        <v>25</v>
      </c>
      <c r="G66" s="6" t="s">
        <v>22</v>
      </c>
      <c r="H66" s="6">
        <v>1</v>
      </c>
      <c r="I66" s="6">
        <v>0.09</v>
      </c>
      <c r="J66" s="17">
        <f>PI()*(I66/2)^2</f>
        <v>6.3617251235193305E-3</v>
      </c>
      <c r="K66" s="6">
        <v>0</v>
      </c>
      <c r="L66" s="17"/>
      <c r="M66" s="17"/>
      <c r="N66" s="12">
        <v>515</v>
      </c>
      <c r="O66" s="12">
        <v>700</v>
      </c>
      <c r="P66" s="9">
        <f t="shared" ref="P66:P97" si="7">O66-N66</f>
        <v>185</v>
      </c>
      <c r="Q66" s="10">
        <f t="shared" ref="Q66:Q97" si="8">O66/P66</f>
        <v>3.7837837837837838</v>
      </c>
    </row>
    <row r="67" spans="1:17" x14ac:dyDescent="0.2">
      <c r="A67" s="6" t="s">
        <v>14</v>
      </c>
      <c r="B67" s="7">
        <v>42522</v>
      </c>
      <c r="C67" s="6">
        <v>2016153</v>
      </c>
      <c r="D67" s="6">
        <v>67.478733333333338</v>
      </c>
      <c r="E67" s="6">
        <v>-63.787533333333336</v>
      </c>
      <c r="F67" s="6" t="s">
        <v>25</v>
      </c>
      <c r="G67" s="6" t="s">
        <v>23</v>
      </c>
      <c r="H67" s="6">
        <v>1</v>
      </c>
      <c r="I67" s="6">
        <v>0.09</v>
      </c>
      <c r="J67" s="17">
        <f>PI()*(I67/2)^2</f>
        <v>6.3617251235193305E-3</v>
      </c>
      <c r="K67" s="6">
        <v>0</v>
      </c>
      <c r="L67" s="17"/>
      <c r="M67" s="17"/>
      <c r="N67" s="12">
        <v>1200</v>
      </c>
      <c r="O67" s="12">
        <v>1520</v>
      </c>
      <c r="P67" s="9">
        <f t="shared" si="7"/>
        <v>320</v>
      </c>
      <c r="Q67" s="10">
        <f t="shared" si="8"/>
        <v>4.75</v>
      </c>
    </row>
    <row r="68" spans="1:17" x14ac:dyDescent="0.2">
      <c r="A68" s="6" t="s">
        <v>14</v>
      </c>
      <c r="B68" s="7">
        <f>DATE(2016, 6,3)</f>
        <v>42524</v>
      </c>
      <c r="C68" s="6">
        <v>2016155</v>
      </c>
      <c r="D68" s="6">
        <f>67+(28.72/60)</f>
        <v>67.478666666666669</v>
      </c>
      <c r="E68" s="6">
        <f>-(63+(47.222/60))</f>
        <v>-63.787033333333333</v>
      </c>
      <c r="F68" s="6" t="s">
        <v>18</v>
      </c>
      <c r="G68" s="6" t="s">
        <v>24</v>
      </c>
      <c r="H68" s="6">
        <v>1</v>
      </c>
      <c r="I68" s="6">
        <v>0.09</v>
      </c>
      <c r="J68" s="17">
        <f>PI()*(I68/2)^2</f>
        <v>6.3617251235193305E-3</v>
      </c>
      <c r="K68" s="6">
        <v>2</v>
      </c>
      <c r="L68" s="6">
        <v>0.14000000000000001</v>
      </c>
      <c r="M68" s="17">
        <f>PI()*(L68/2)^2</f>
        <v>1.5393804002589988E-2</v>
      </c>
      <c r="N68" s="8">
        <v>8000</v>
      </c>
      <c r="O68" s="8">
        <v>8460</v>
      </c>
      <c r="P68" s="9">
        <f t="shared" si="7"/>
        <v>460</v>
      </c>
      <c r="Q68" s="10">
        <f t="shared" si="8"/>
        <v>18.391304347826086</v>
      </c>
    </row>
    <row r="69" spans="1:17" s="26" customFormat="1" x14ac:dyDescent="0.2">
      <c r="A69" s="20" t="s">
        <v>14</v>
      </c>
      <c r="B69" s="21">
        <f>DATE(2016, 6,3)</f>
        <v>42524</v>
      </c>
      <c r="C69" s="20">
        <v>2016155</v>
      </c>
      <c r="D69" s="20">
        <f>67+(28.72/60)</f>
        <v>67.478666666666669</v>
      </c>
      <c r="E69" s="20">
        <f>-(63+(47.222/60))</f>
        <v>-63.787033333333333</v>
      </c>
      <c r="F69" s="20" t="s">
        <v>15</v>
      </c>
      <c r="G69" s="20" t="s">
        <v>22</v>
      </c>
      <c r="H69" s="20"/>
      <c r="I69" s="20"/>
      <c r="J69" s="22"/>
      <c r="K69" s="20">
        <v>4</v>
      </c>
      <c r="L69" s="20">
        <v>0.14000000000000001</v>
      </c>
      <c r="M69" s="22">
        <f>PI()*(L69/2)^2</f>
        <v>1.5393804002589988E-2</v>
      </c>
      <c r="N69" s="23">
        <v>5300</v>
      </c>
      <c r="O69" s="23">
        <v>7450</v>
      </c>
      <c r="P69" s="24">
        <f t="shared" si="7"/>
        <v>2150</v>
      </c>
      <c r="Q69" s="25">
        <f t="shared" si="8"/>
        <v>3.4651162790697674</v>
      </c>
    </row>
    <row r="70" spans="1:17" s="26" customFormat="1" x14ac:dyDescent="0.2">
      <c r="A70" s="20" t="s">
        <v>14</v>
      </c>
      <c r="B70" s="21">
        <f>DATE(2016, 6,3)</f>
        <v>42524</v>
      </c>
      <c r="C70" s="20">
        <v>2016155</v>
      </c>
      <c r="D70" s="20">
        <f>67+(28.72/60)</f>
        <v>67.478666666666669</v>
      </c>
      <c r="E70" s="20">
        <f>-(63+(47.222/60))</f>
        <v>-63.787033333333333</v>
      </c>
      <c r="F70" s="20" t="s">
        <v>15</v>
      </c>
      <c r="G70" s="20" t="s">
        <v>23</v>
      </c>
      <c r="H70" s="20"/>
      <c r="I70" s="20"/>
      <c r="J70" s="22"/>
      <c r="K70" s="20">
        <v>4</v>
      </c>
      <c r="L70" s="20">
        <v>0.14000000000000001</v>
      </c>
      <c r="M70" s="22">
        <f>PI()*(L70/2)^2</f>
        <v>1.5393804002589988E-2</v>
      </c>
      <c r="N70" s="23">
        <v>12400</v>
      </c>
      <c r="O70" s="23">
        <v>16210</v>
      </c>
      <c r="P70" s="24">
        <f t="shared" si="7"/>
        <v>3810</v>
      </c>
      <c r="Q70" s="25">
        <f t="shared" si="8"/>
        <v>4.2545931758530182</v>
      </c>
    </row>
    <row r="71" spans="1:17" x14ac:dyDescent="0.2">
      <c r="A71" s="6" t="s">
        <v>14</v>
      </c>
      <c r="B71" s="7">
        <v>42524</v>
      </c>
      <c r="C71" s="6">
        <v>2016155</v>
      </c>
      <c r="D71" s="6">
        <v>67.478666666666669</v>
      </c>
      <c r="E71" s="6">
        <v>-63.787033333333333</v>
      </c>
      <c r="F71" s="6" t="s">
        <v>25</v>
      </c>
      <c r="G71" s="6" t="s">
        <v>22</v>
      </c>
      <c r="H71" s="6">
        <v>1</v>
      </c>
      <c r="I71" s="6">
        <v>0.09</v>
      </c>
      <c r="J71" s="17">
        <f>PI()*(I71/2)^2</f>
        <v>6.3617251235193305E-3</v>
      </c>
      <c r="K71" s="6">
        <v>0</v>
      </c>
      <c r="L71" s="17"/>
      <c r="M71" s="17"/>
      <c r="N71" s="12">
        <v>515</v>
      </c>
      <c r="O71" s="12">
        <v>740</v>
      </c>
      <c r="P71" s="9">
        <f t="shared" si="7"/>
        <v>225</v>
      </c>
      <c r="Q71" s="10">
        <f t="shared" si="8"/>
        <v>3.2888888888888888</v>
      </c>
    </row>
    <row r="72" spans="1:17" x14ac:dyDescent="0.2">
      <c r="A72" s="6" t="s">
        <v>14</v>
      </c>
      <c r="B72" s="7">
        <v>42524</v>
      </c>
      <c r="C72" s="6">
        <v>2016155</v>
      </c>
      <c r="D72" s="6">
        <v>67.478666666666669</v>
      </c>
      <c r="E72" s="6">
        <v>-63.787033333333333</v>
      </c>
      <c r="F72" s="6" t="s">
        <v>25</v>
      </c>
      <c r="G72" s="6" t="s">
        <v>23</v>
      </c>
      <c r="H72" s="6">
        <v>1</v>
      </c>
      <c r="I72" s="6">
        <v>0.09</v>
      </c>
      <c r="J72" s="17">
        <f>PI()*(I72/2)^2</f>
        <v>6.3617251235193305E-3</v>
      </c>
      <c r="K72" s="6">
        <v>0</v>
      </c>
      <c r="L72" s="17"/>
      <c r="M72" s="17"/>
      <c r="N72" s="12">
        <v>1200</v>
      </c>
      <c r="O72" s="12">
        <v>1630</v>
      </c>
      <c r="P72" s="9">
        <f t="shared" si="7"/>
        <v>430</v>
      </c>
      <c r="Q72" s="10">
        <f t="shared" si="8"/>
        <v>3.7906976744186047</v>
      </c>
    </row>
    <row r="73" spans="1:17" x14ac:dyDescent="0.2">
      <c r="A73" s="6" t="s">
        <v>14</v>
      </c>
      <c r="B73" s="7">
        <f>DATE(2016, 6,6)</f>
        <v>42527</v>
      </c>
      <c r="C73" s="6">
        <v>2016158</v>
      </c>
      <c r="D73" s="6">
        <f>67+(28.706/60)</f>
        <v>67.478433333333328</v>
      </c>
      <c r="E73" s="6">
        <f>-(63+(47.251/60))</f>
        <v>-63.787516666666669</v>
      </c>
      <c r="F73" s="6" t="s">
        <v>18</v>
      </c>
      <c r="G73" s="6" t="s">
        <v>24</v>
      </c>
      <c r="H73" s="6">
        <v>1</v>
      </c>
      <c r="I73" s="6">
        <v>0.09</v>
      </c>
      <c r="J73" s="17">
        <f>PI()*(I73/2)^2</f>
        <v>6.3617251235193305E-3</v>
      </c>
      <c r="K73" s="6">
        <v>2</v>
      </c>
      <c r="L73" s="6">
        <v>0.14000000000000001</v>
      </c>
      <c r="M73" s="17">
        <f>PI()*(L73/2)^2</f>
        <v>1.5393804002589988E-2</v>
      </c>
      <c r="N73" s="8">
        <v>8000</v>
      </c>
      <c r="O73" s="8">
        <v>8500</v>
      </c>
      <c r="P73" s="9">
        <f t="shared" si="7"/>
        <v>500</v>
      </c>
      <c r="Q73" s="10">
        <f t="shared" si="8"/>
        <v>17</v>
      </c>
    </row>
    <row r="74" spans="1:17" s="26" customFormat="1" x14ac:dyDescent="0.2">
      <c r="A74" s="20" t="s">
        <v>14</v>
      </c>
      <c r="B74" s="21">
        <f>DATE(2016, 6,6)</f>
        <v>42527</v>
      </c>
      <c r="C74" s="20">
        <v>2016158</v>
      </c>
      <c r="D74" s="20">
        <f>67+(28.706/60)</f>
        <v>67.478433333333328</v>
      </c>
      <c r="E74" s="20">
        <f>-(63+(47.251/60))</f>
        <v>-63.787516666666669</v>
      </c>
      <c r="F74" s="20" t="s">
        <v>15</v>
      </c>
      <c r="G74" s="20" t="s">
        <v>22</v>
      </c>
      <c r="H74" s="20"/>
      <c r="I74" s="20"/>
      <c r="J74" s="22"/>
      <c r="K74" s="20">
        <v>4</v>
      </c>
      <c r="L74" s="20">
        <v>0.14000000000000001</v>
      </c>
      <c r="M74" s="22">
        <f>PI()*(L74/2)^2</f>
        <v>1.5393804002589988E-2</v>
      </c>
      <c r="N74" s="23">
        <v>5300</v>
      </c>
      <c r="O74" s="23">
        <v>7080</v>
      </c>
      <c r="P74" s="24">
        <f t="shared" si="7"/>
        <v>1780</v>
      </c>
      <c r="Q74" s="25">
        <f t="shared" si="8"/>
        <v>3.9775280898876404</v>
      </c>
    </row>
    <row r="75" spans="1:17" s="26" customFormat="1" x14ac:dyDescent="0.2">
      <c r="A75" s="20" t="s">
        <v>14</v>
      </c>
      <c r="B75" s="21">
        <f>DATE(2016, 6,6)</f>
        <v>42527</v>
      </c>
      <c r="C75" s="20">
        <v>2016158</v>
      </c>
      <c r="D75" s="20">
        <f>67+(28.706/60)</f>
        <v>67.478433333333328</v>
      </c>
      <c r="E75" s="20">
        <f>-(63+(47.251/60))</f>
        <v>-63.787516666666669</v>
      </c>
      <c r="F75" s="20" t="s">
        <v>15</v>
      </c>
      <c r="G75" s="20" t="s">
        <v>23</v>
      </c>
      <c r="H75" s="20"/>
      <c r="I75" s="20"/>
      <c r="J75" s="22"/>
      <c r="K75" s="20">
        <v>4</v>
      </c>
      <c r="L75" s="20">
        <v>0.14000000000000001</v>
      </c>
      <c r="M75" s="22">
        <f>PI()*(L75/2)^2</f>
        <v>1.5393804002589988E-2</v>
      </c>
      <c r="N75" s="23">
        <v>12400</v>
      </c>
      <c r="O75" s="23">
        <v>16370</v>
      </c>
      <c r="P75" s="24">
        <f t="shared" si="7"/>
        <v>3970</v>
      </c>
      <c r="Q75" s="25">
        <f t="shared" si="8"/>
        <v>4.1234256926952142</v>
      </c>
    </row>
    <row r="76" spans="1:17" x14ac:dyDescent="0.2">
      <c r="A76" s="6" t="s">
        <v>14</v>
      </c>
      <c r="B76" s="7">
        <v>42527</v>
      </c>
      <c r="C76" s="6">
        <v>2016158</v>
      </c>
      <c r="D76" s="6">
        <v>67.478433333333328</v>
      </c>
      <c r="E76" s="6">
        <v>-63.787516666666669</v>
      </c>
      <c r="F76" s="6" t="s">
        <v>25</v>
      </c>
      <c r="G76" s="6" t="s">
        <v>22</v>
      </c>
      <c r="H76" s="6">
        <v>1</v>
      </c>
      <c r="I76" s="6">
        <v>0.09</v>
      </c>
      <c r="J76" s="17">
        <f>PI()*(I76/2)^2</f>
        <v>6.3617251235193305E-3</v>
      </c>
      <c r="K76" s="6">
        <v>0</v>
      </c>
      <c r="L76" s="17"/>
      <c r="M76" s="17"/>
      <c r="N76" s="12">
        <v>515</v>
      </c>
      <c r="O76" s="12">
        <v>680</v>
      </c>
      <c r="P76" s="9">
        <f t="shared" si="7"/>
        <v>165</v>
      </c>
      <c r="Q76" s="10">
        <f t="shared" si="8"/>
        <v>4.1212121212121211</v>
      </c>
    </row>
    <row r="77" spans="1:17" x14ac:dyDescent="0.2">
      <c r="A77" s="6" t="s">
        <v>14</v>
      </c>
      <c r="B77" s="7">
        <v>42527</v>
      </c>
      <c r="C77" s="6">
        <v>2016158</v>
      </c>
      <c r="D77" s="6">
        <v>67.478433333333328</v>
      </c>
      <c r="E77" s="6">
        <v>-63.787516666666669</v>
      </c>
      <c r="F77" s="6" t="s">
        <v>25</v>
      </c>
      <c r="G77" s="6" t="s">
        <v>23</v>
      </c>
      <c r="H77" s="6">
        <v>1</v>
      </c>
      <c r="I77" s="6">
        <v>0.09</v>
      </c>
      <c r="J77" s="17">
        <f>PI()*(I77/2)^2</f>
        <v>6.3617251235193305E-3</v>
      </c>
      <c r="K77" s="6">
        <v>0</v>
      </c>
      <c r="L77" s="17"/>
      <c r="M77" s="17"/>
      <c r="N77" s="12">
        <v>1200</v>
      </c>
      <c r="O77" s="12">
        <v>1610</v>
      </c>
      <c r="P77" s="9">
        <f t="shared" si="7"/>
        <v>410</v>
      </c>
      <c r="Q77" s="10">
        <f t="shared" si="8"/>
        <v>3.9268292682926829</v>
      </c>
    </row>
    <row r="78" spans="1:17" x14ac:dyDescent="0.2">
      <c r="A78" s="6" t="s">
        <v>14</v>
      </c>
      <c r="B78" s="7">
        <f>DATE(2016, 6,8)</f>
        <v>42529</v>
      </c>
      <c r="C78" s="6">
        <v>2016160</v>
      </c>
      <c r="D78" s="6">
        <f>67+(28.634/60)</f>
        <v>67.477233333333331</v>
      </c>
      <c r="E78" s="6">
        <f>-(63+(47.222/60))</f>
        <v>-63.787033333333333</v>
      </c>
      <c r="F78" s="6" t="s">
        <v>18</v>
      </c>
      <c r="G78" s="6" t="s">
        <v>24</v>
      </c>
      <c r="H78" s="6">
        <v>1</v>
      </c>
      <c r="I78" s="6">
        <v>0.09</v>
      </c>
      <c r="J78" s="17">
        <f>PI()*(I78/2)^2</f>
        <v>6.3617251235193305E-3</v>
      </c>
      <c r="K78" s="6">
        <v>2</v>
      </c>
      <c r="L78" s="6">
        <v>0.14000000000000001</v>
      </c>
      <c r="M78" s="17">
        <f>PI()*(L78/2)^2</f>
        <v>1.5393804002589988E-2</v>
      </c>
      <c r="N78" s="8">
        <v>8000</v>
      </c>
      <c r="O78" s="8">
        <v>8490</v>
      </c>
      <c r="P78" s="9">
        <f t="shared" si="7"/>
        <v>490</v>
      </c>
      <c r="Q78" s="10">
        <f t="shared" si="8"/>
        <v>17.326530612244898</v>
      </c>
    </row>
    <row r="79" spans="1:17" s="26" customFormat="1" x14ac:dyDescent="0.2">
      <c r="A79" s="20" t="s">
        <v>14</v>
      </c>
      <c r="B79" s="21">
        <f>DATE(2016, 6,8)</f>
        <v>42529</v>
      </c>
      <c r="C79" s="20">
        <v>2016160</v>
      </c>
      <c r="D79" s="20">
        <f>67+(28.634/60)</f>
        <v>67.477233333333331</v>
      </c>
      <c r="E79" s="20">
        <f>-(63+(47.222/60))</f>
        <v>-63.787033333333333</v>
      </c>
      <c r="F79" s="20" t="s">
        <v>15</v>
      </c>
      <c r="G79" s="20" t="s">
        <v>22</v>
      </c>
      <c r="H79" s="20"/>
      <c r="I79" s="20"/>
      <c r="J79" s="22"/>
      <c r="K79" s="20">
        <v>4</v>
      </c>
      <c r="L79" s="20">
        <v>0.14000000000000001</v>
      </c>
      <c r="M79" s="22">
        <f>PI()*(L79/2)^2</f>
        <v>1.5393804002589988E-2</v>
      </c>
      <c r="N79" s="23">
        <v>5300</v>
      </c>
      <c r="O79" s="23">
        <v>6980</v>
      </c>
      <c r="P79" s="24">
        <f t="shared" si="7"/>
        <v>1680</v>
      </c>
      <c r="Q79" s="25">
        <f t="shared" si="8"/>
        <v>4.1547619047619051</v>
      </c>
    </row>
    <row r="80" spans="1:17" s="26" customFormat="1" x14ac:dyDescent="0.2">
      <c r="A80" s="20" t="s">
        <v>14</v>
      </c>
      <c r="B80" s="21">
        <f>DATE(2016, 6,8)</f>
        <v>42529</v>
      </c>
      <c r="C80" s="20">
        <v>2016160</v>
      </c>
      <c r="D80" s="20">
        <f>67+(28.634/60)</f>
        <v>67.477233333333331</v>
      </c>
      <c r="E80" s="20">
        <f>-(63+(47.222/60))</f>
        <v>-63.787033333333333</v>
      </c>
      <c r="F80" s="20" t="s">
        <v>15</v>
      </c>
      <c r="G80" s="20" t="s">
        <v>23</v>
      </c>
      <c r="H80" s="20"/>
      <c r="I80" s="20"/>
      <c r="J80" s="22"/>
      <c r="K80" s="20">
        <v>4</v>
      </c>
      <c r="L80" s="20">
        <v>0.14000000000000001</v>
      </c>
      <c r="M80" s="22">
        <f>PI()*(L80/2)^2</f>
        <v>1.5393804002589988E-2</v>
      </c>
      <c r="N80" s="23">
        <v>12400</v>
      </c>
      <c r="O80" s="23">
        <v>16095</v>
      </c>
      <c r="P80" s="24">
        <f t="shared" si="7"/>
        <v>3695</v>
      </c>
      <c r="Q80" s="25">
        <f t="shared" si="8"/>
        <v>4.3558863328822737</v>
      </c>
    </row>
    <row r="81" spans="1:17" x14ac:dyDescent="0.2">
      <c r="A81" s="6" t="s">
        <v>14</v>
      </c>
      <c r="B81" s="7">
        <v>42529</v>
      </c>
      <c r="C81" s="6">
        <v>2016160</v>
      </c>
      <c r="D81" s="6">
        <v>67.477233333333331</v>
      </c>
      <c r="E81" s="6">
        <v>-63.787033333333333</v>
      </c>
      <c r="F81" s="6" t="s">
        <v>25</v>
      </c>
      <c r="G81" s="6" t="s">
        <v>22</v>
      </c>
      <c r="H81" s="6">
        <v>1</v>
      </c>
      <c r="I81" s="6">
        <v>0.09</v>
      </c>
      <c r="J81" s="17">
        <f>PI()*(I81/2)^2</f>
        <v>6.3617251235193305E-3</v>
      </c>
      <c r="K81" s="6">
        <v>0</v>
      </c>
      <c r="L81" s="17"/>
      <c r="M81" s="17"/>
      <c r="N81" s="12">
        <v>515</v>
      </c>
      <c r="O81" s="12">
        <v>700</v>
      </c>
      <c r="P81" s="9">
        <f t="shared" si="7"/>
        <v>185</v>
      </c>
      <c r="Q81" s="10">
        <f t="shared" si="8"/>
        <v>3.7837837837837838</v>
      </c>
    </row>
    <row r="82" spans="1:17" x14ac:dyDescent="0.2">
      <c r="A82" s="6" t="s">
        <v>14</v>
      </c>
      <c r="B82" s="7">
        <v>42529</v>
      </c>
      <c r="C82" s="6">
        <v>2016160</v>
      </c>
      <c r="D82" s="6">
        <v>67.477233333333331</v>
      </c>
      <c r="E82" s="6">
        <v>-63.787033333333333</v>
      </c>
      <c r="F82" s="6" t="s">
        <v>25</v>
      </c>
      <c r="G82" s="6" t="s">
        <v>23</v>
      </c>
      <c r="H82" s="6">
        <v>1</v>
      </c>
      <c r="I82" s="6">
        <v>0.09</v>
      </c>
      <c r="J82" s="17">
        <f>PI()*(I82/2)^2</f>
        <v>6.3617251235193305E-3</v>
      </c>
      <c r="K82" s="6">
        <v>0</v>
      </c>
      <c r="L82" s="17"/>
      <c r="M82" s="17"/>
      <c r="N82" s="12">
        <v>1200</v>
      </c>
      <c r="O82" s="12">
        <v>1580</v>
      </c>
      <c r="P82" s="9">
        <f t="shared" si="7"/>
        <v>380</v>
      </c>
      <c r="Q82" s="10">
        <f t="shared" si="8"/>
        <v>4.1578947368421053</v>
      </c>
    </row>
    <row r="83" spans="1:17" x14ac:dyDescent="0.2">
      <c r="A83" s="6" t="s">
        <v>14</v>
      </c>
      <c r="B83" s="7">
        <f>DATE(2016, 6,10)</f>
        <v>42531</v>
      </c>
      <c r="C83" s="6">
        <v>2016162</v>
      </c>
      <c r="D83" s="6">
        <f>67+(28.7/60)</f>
        <v>67.478333333333339</v>
      </c>
      <c r="E83" s="6">
        <f>-(63+(47.194/60))</f>
        <v>-63.786566666666666</v>
      </c>
      <c r="F83" s="6" t="s">
        <v>18</v>
      </c>
      <c r="G83" s="6" t="s">
        <v>24</v>
      </c>
      <c r="H83" s="6">
        <v>1</v>
      </c>
      <c r="I83" s="6">
        <v>0.09</v>
      </c>
      <c r="J83" s="17">
        <f>PI()*(I83/2)^2</f>
        <v>6.3617251235193305E-3</v>
      </c>
      <c r="K83" s="6">
        <v>2</v>
      </c>
      <c r="L83" s="6">
        <v>0.14000000000000001</v>
      </c>
      <c r="M83" s="17">
        <f>PI()*(L83/2)^2</f>
        <v>1.5393804002589988E-2</v>
      </c>
      <c r="N83" s="8">
        <v>8000</v>
      </c>
      <c r="O83" s="8">
        <v>8480</v>
      </c>
      <c r="P83" s="9">
        <f t="shared" si="7"/>
        <v>480</v>
      </c>
      <c r="Q83" s="10">
        <f t="shared" si="8"/>
        <v>17.666666666666668</v>
      </c>
    </row>
    <row r="84" spans="1:17" s="26" customFormat="1" x14ac:dyDescent="0.2">
      <c r="A84" s="20" t="s">
        <v>14</v>
      </c>
      <c r="B84" s="21">
        <f>DATE(2016, 6,10)</f>
        <v>42531</v>
      </c>
      <c r="C84" s="20">
        <v>2016162</v>
      </c>
      <c r="D84" s="20">
        <f>67+(28.7/60)</f>
        <v>67.478333333333339</v>
      </c>
      <c r="E84" s="20">
        <f>-(63+(47.194/60))</f>
        <v>-63.786566666666666</v>
      </c>
      <c r="F84" s="20" t="s">
        <v>15</v>
      </c>
      <c r="G84" s="20" t="s">
        <v>22</v>
      </c>
      <c r="H84" s="20"/>
      <c r="I84" s="20"/>
      <c r="J84" s="22"/>
      <c r="K84" s="20">
        <v>4</v>
      </c>
      <c r="L84" s="20">
        <v>0.14000000000000001</v>
      </c>
      <c r="M84" s="22">
        <f>PI()*(L84/2)^2</f>
        <v>1.5393804002589988E-2</v>
      </c>
      <c r="N84" s="23">
        <v>5300</v>
      </c>
      <c r="O84" s="23">
        <v>6735</v>
      </c>
      <c r="P84" s="24">
        <f t="shared" si="7"/>
        <v>1435</v>
      </c>
      <c r="Q84" s="25">
        <f t="shared" si="8"/>
        <v>4.6933797909407664</v>
      </c>
    </row>
    <row r="85" spans="1:17" s="26" customFormat="1" x14ac:dyDescent="0.2">
      <c r="A85" s="20" t="s">
        <v>14</v>
      </c>
      <c r="B85" s="21">
        <f>DATE(2016, 6,10)</f>
        <v>42531</v>
      </c>
      <c r="C85" s="20">
        <v>2016162</v>
      </c>
      <c r="D85" s="20">
        <f>67+(28.7/60)</f>
        <v>67.478333333333339</v>
      </c>
      <c r="E85" s="20">
        <f>-(63+(47.194/60))</f>
        <v>-63.786566666666666</v>
      </c>
      <c r="F85" s="20" t="s">
        <v>15</v>
      </c>
      <c r="G85" s="20" t="s">
        <v>23</v>
      </c>
      <c r="H85" s="20"/>
      <c r="I85" s="20"/>
      <c r="J85" s="22"/>
      <c r="K85" s="20">
        <v>4</v>
      </c>
      <c r="L85" s="20">
        <v>0.14000000000000001</v>
      </c>
      <c r="M85" s="22">
        <f>PI()*(L85/2)^2</f>
        <v>1.5393804002589988E-2</v>
      </c>
      <c r="N85" s="23">
        <v>12400</v>
      </c>
      <c r="O85" s="23">
        <v>16712</v>
      </c>
      <c r="P85" s="24">
        <f t="shared" si="7"/>
        <v>4312</v>
      </c>
      <c r="Q85" s="25">
        <f t="shared" si="8"/>
        <v>3.8756957328385901</v>
      </c>
    </row>
    <row r="86" spans="1:17" x14ac:dyDescent="0.2">
      <c r="A86" s="6" t="s">
        <v>14</v>
      </c>
      <c r="B86" s="7">
        <v>42531</v>
      </c>
      <c r="C86" s="6">
        <v>2016162</v>
      </c>
      <c r="D86" s="6">
        <v>67.478333333333339</v>
      </c>
      <c r="E86" s="6">
        <v>-63.786566666666666</v>
      </c>
      <c r="F86" s="6" t="s">
        <v>25</v>
      </c>
      <c r="G86" s="6" t="s">
        <v>22</v>
      </c>
      <c r="H86" s="6">
        <v>1</v>
      </c>
      <c r="I86" s="6">
        <v>0.09</v>
      </c>
      <c r="J86" s="17">
        <f>PI()*(I86/2)^2</f>
        <v>6.3617251235193305E-3</v>
      </c>
      <c r="K86" s="6">
        <v>0</v>
      </c>
      <c r="L86" s="17"/>
      <c r="M86" s="17"/>
      <c r="N86" s="12">
        <v>515</v>
      </c>
      <c r="O86" s="12">
        <v>740</v>
      </c>
      <c r="P86" s="9">
        <f t="shared" si="7"/>
        <v>225</v>
      </c>
      <c r="Q86" s="10">
        <f t="shared" si="8"/>
        <v>3.2888888888888888</v>
      </c>
    </row>
    <row r="87" spans="1:17" x14ac:dyDescent="0.2">
      <c r="A87" s="6" t="s">
        <v>14</v>
      </c>
      <c r="B87" s="7">
        <v>42531</v>
      </c>
      <c r="C87" s="6">
        <v>2016162</v>
      </c>
      <c r="D87" s="6">
        <v>67.478333333333339</v>
      </c>
      <c r="E87" s="6">
        <v>-63.786566666666666</v>
      </c>
      <c r="F87" s="6" t="s">
        <v>25</v>
      </c>
      <c r="G87" s="6" t="s">
        <v>23</v>
      </c>
      <c r="H87" s="6">
        <v>1</v>
      </c>
      <c r="I87" s="6">
        <v>0.09</v>
      </c>
      <c r="J87" s="17">
        <f>PI()*(I87/2)^2</f>
        <v>6.3617251235193305E-3</v>
      </c>
      <c r="K87" s="6">
        <v>0</v>
      </c>
      <c r="L87" s="17"/>
      <c r="M87" s="17"/>
      <c r="N87" s="12">
        <v>1200</v>
      </c>
      <c r="O87" s="12">
        <v>1560</v>
      </c>
      <c r="P87" s="9">
        <f t="shared" si="7"/>
        <v>360</v>
      </c>
      <c r="Q87" s="10">
        <f t="shared" si="8"/>
        <v>4.333333333333333</v>
      </c>
    </row>
    <row r="88" spans="1:17" x14ac:dyDescent="0.2">
      <c r="A88" s="6" t="s">
        <v>14</v>
      </c>
      <c r="B88" s="7">
        <f>DATE(2016, 6,13)</f>
        <v>42534</v>
      </c>
      <c r="C88" s="6">
        <v>2016165</v>
      </c>
      <c r="D88" s="6">
        <f>67+(28.713/60)</f>
        <v>67.478549999999998</v>
      </c>
      <c r="E88" s="6">
        <f>-(63+(47.179/60))</f>
        <v>-63.786316666666664</v>
      </c>
      <c r="F88" s="6" t="s">
        <v>18</v>
      </c>
      <c r="G88" s="6" t="s">
        <v>24</v>
      </c>
      <c r="H88" s="6">
        <v>1</v>
      </c>
      <c r="I88" s="6">
        <v>0.09</v>
      </c>
      <c r="J88" s="17">
        <f>PI()*(I88/2)^2</f>
        <v>6.3617251235193305E-3</v>
      </c>
      <c r="K88" s="6">
        <v>2</v>
      </c>
      <c r="L88" s="6">
        <v>0.14000000000000001</v>
      </c>
      <c r="M88" s="17">
        <f>PI()*(L88/2)^2</f>
        <v>1.5393804002589988E-2</v>
      </c>
      <c r="N88" s="8">
        <v>8000</v>
      </c>
      <c r="O88" s="8">
        <v>8280</v>
      </c>
      <c r="P88" s="13">
        <f t="shared" si="7"/>
        <v>280</v>
      </c>
      <c r="Q88" s="10">
        <f t="shared" si="8"/>
        <v>29.571428571428573</v>
      </c>
    </row>
    <row r="89" spans="1:17" s="26" customFormat="1" x14ac:dyDescent="0.2">
      <c r="A89" s="20" t="s">
        <v>14</v>
      </c>
      <c r="B89" s="21">
        <f>DATE(2016, 6,13)</f>
        <v>42534</v>
      </c>
      <c r="C89" s="20">
        <v>2016165</v>
      </c>
      <c r="D89" s="20">
        <f>67+(28.713/60)</f>
        <v>67.478549999999998</v>
      </c>
      <c r="E89" s="20">
        <f>-(63+(47.179/60))</f>
        <v>-63.786316666666664</v>
      </c>
      <c r="F89" s="20" t="s">
        <v>15</v>
      </c>
      <c r="G89" s="20" t="s">
        <v>22</v>
      </c>
      <c r="H89" s="20"/>
      <c r="I89" s="20"/>
      <c r="J89" s="22"/>
      <c r="K89" s="20">
        <v>4</v>
      </c>
      <c r="L89" s="20">
        <v>0.14000000000000001</v>
      </c>
      <c r="M89" s="22">
        <f>PI()*(L89/2)^2</f>
        <v>1.5393804002589988E-2</v>
      </c>
      <c r="N89" s="23">
        <v>5300</v>
      </c>
      <c r="O89" s="23">
        <v>6518</v>
      </c>
      <c r="P89" s="27">
        <f t="shared" si="7"/>
        <v>1218</v>
      </c>
      <c r="Q89" s="25">
        <f t="shared" si="8"/>
        <v>5.3513957307060753</v>
      </c>
    </row>
    <row r="90" spans="1:17" s="26" customFormat="1" x14ac:dyDescent="0.2">
      <c r="A90" s="20" t="s">
        <v>14</v>
      </c>
      <c r="B90" s="21">
        <f>DATE(2016, 6,13)</f>
        <v>42534</v>
      </c>
      <c r="C90" s="20">
        <v>2016165</v>
      </c>
      <c r="D90" s="20">
        <f>67+(28.713/60)</f>
        <v>67.478549999999998</v>
      </c>
      <c r="E90" s="20">
        <f>-(63+(47.179/60))</f>
        <v>-63.786316666666664</v>
      </c>
      <c r="F90" s="20" t="s">
        <v>15</v>
      </c>
      <c r="G90" s="20" t="s">
        <v>23</v>
      </c>
      <c r="H90" s="20"/>
      <c r="I90" s="20"/>
      <c r="J90" s="22"/>
      <c r="K90" s="20">
        <v>4</v>
      </c>
      <c r="L90" s="20">
        <v>0.14000000000000001</v>
      </c>
      <c r="M90" s="22">
        <f>PI()*(L90/2)^2</f>
        <v>1.5393804002589988E-2</v>
      </c>
      <c r="N90" s="23">
        <v>12400</v>
      </c>
      <c r="O90" s="23">
        <v>16369</v>
      </c>
      <c r="P90" s="27">
        <f t="shared" si="7"/>
        <v>3969</v>
      </c>
      <c r="Q90" s="25">
        <f t="shared" si="8"/>
        <v>4.1242126480221719</v>
      </c>
    </row>
    <row r="91" spans="1:17" x14ac:dyDescent="0.2">
      <c r="A91" s="6" t="s">
        <v>14</v>
      </c>
      <c r="B91" s="7">
        <v>42534</v>
      </c>
      <c r="C91" s="6">
        <v>2016165</v>
      </c>
      <c r="D91" s="6">
        <v>67.478549999999998</v>
      </c>
      <c r="E91" s="6">
        <v>-63.786316666666664</v>
      </c>
      <c r="F91" s="6" t="s">
        <v>25</v>
      </c>
      <c r="G91" s="6" t="s">
        <v>22</v>
      </c>
      <c r="H91" s="6">
        <v>1</v>
      </c>
      <c r="I91" s="6">
        <v>0.09</v>
      </c>
      <c r="J91" s="17">
        <f>PI()*(I91/2)^2</f>
        <v>6.3617251235193305E-3</v>
      </c>
      <c r="K91" s="6">
        <v>0</v>
      </c>
      <c r="L91" s="17"/>
      <c r="M91" s="17"/>
      <c r="N91" s="12">
        <v>515</v>
      </c>
      <c r="O91" s="12">
        <v>670</v>
      </c>
      <c r="P91" s="12">
        <f t="shared" si="7"/>
        <v>155</v>
      </c>
      <c r="Q91" s="10">
        <f t="shared" si="8"/>
        <v>4.32258064516129</v>
      </c>
    </row>
    <row r="92" spans="1:17" x14ac:dyDescent="0.2">
      <c r="A92" s="6" t="s">
        <v>14</v>
      </c>
      <c r="B92" s="7">
        <v>42534</v>
      </c>
      <c r="C92" s="6">
        <v>2016165</v>
      </c>
      <c r="D92" s="6">
        <v>67.478549999999998</v>
      </c>
      <c r="E92" s="6">
        <v>-63.786316666666664</v>
      </c>
      <c r="F92" s="6" t="s">
        <v>25</v>
      </c>
      <c r="G92" s="6" t="s">
        <v>23</v>
      </c>
      <c r="H92" s="6">
        <v>1</v>
      </c>
      <c r="I92" s="6">
        <v>0.09</v>
      </c>
      <c r="J92" s="17">
        <f>PI()*(I92/2)^2</f>
        <v>6.3617251235193305E-3</v>
      </c>
      <c r="K92" s="6">
        <v>0</v>
      </c>
      <c r="L92" s="17"/>
      <c r="M92" s="17"/>
      <c r="N92" s="12">
        <v>1200</v>
      </c>
      <c r="O92" s="12">
        <v>1600</v>
      </c>
      <c r="P92" s="12">
        <f t="shared" si="7"/>
        <v>400</v>
      </c>
      <c r="Q92" s="10">
        <f t="shared" si="8"/>
        <v>4</v>
      </c>
    </row>
    <row r="93" spans="1:17" x14ac:dyDescent="0.2">
      <c r="A93" s="6" t="s">
        <v>14</v>
      </c>
      <c r="B93" s="7">
        <f>DATE(2016, 6,15)</f>
        <v>42536</v>
      </c>
      <c r="C93" s="6">
        <v>2016167</v>
      </c>
      <c r="D93" s="6">
        <f>67+(28.703/60)</f>
        <v>67.478383333333326</v>
      </c>
      <c r="E93" s="6">
        <f>-(63+(47.134/60))</f>
        <v>-63.785566666666668</v>
      </c>
      <c r="F93" s="6" t="s">
        <v>18</v>
      </c>
      <c r="G93" s="6" t="s">
        <v>24</v>
      </c>
      <c r="H93" s="6">
        <v>1</v>
      </c>
      <c r="I93" s="6">
        <v>0.09</v>
      </c>
      <c r="J93" s="17">
        <f>PI()*(I93/2)^2</f>
        <v>6.3617251235193305E-3</v>
      </c>
      <c r="K93" s="6">
        <v>2</v>
      </c>
      <c r="L93" s="6">
        <v>0.14000000000000001</v>
      </c>
      <c r="M93" s="17">
        <f>PI()*(L93/2)^2</f>
        <v>1.5393804002589988E-2</v>
      </c>
      <c r="N93" s="8">
        <v>8000</v>
      </c>
      <c r="O93" s="8">
        <v>8380</v>
      </c>
      <c r="P93" s="13">
        <f t="shared" si="7"/>
        <v>380</v>
      </c>
      <c r="Q93" s="10">
        <f t="shared" si="8"/>
        <v>22.05263157894737</v>
      </c>
    </row>
    <row r="94" spans="1:17" s="26" customFormat="1" x14ac:dyDescent="0.2">
      <c r="A94" s="20" t="s">
        <v>14</v>
      </c>
      <c r="B94" s="21">
        <f>DATE(2016, 6,15)</f>
        <v>42536</v>
      </c>
      <c r="C94" s="20">
        <v>2016167</v>
      </c>
      <c r="D94" s="20">
        <f>67+(28.703/60)</f>
        <v>67.478383333333326</v>
      </c>
      <c r="E94" s="20">
        <f>-(63+(47.134/60))</f>
        <v>-63.785566666666668</v>
      </c>
      <c r="F94" s="20" t="s">
        <v>15</v>
      </c>
      <c r="G94" s="20" t="s">
        <v>22</v>
      </c>
      <c r="H94" s="20"/>
      <c r="I94" s="20"/>
      <c r="J94" s="22"/>
      <c r="K94" s="20">
        <v>4</v>
      </c>
      <c r="L94" s="20">
        <v>0.14000000000000001</v>
      </c>
      <c r="M94" s="22">
        <f>PI()*(L94/2)^2</f>
        <v>1.5393804002589988E-2</v>
      </c>
      <c r="N94" s="23">
        <v>5300</v>
      </c>
      <c r="O94" s="23">
        <v>6990</v>
      </c>
      <c r="P94" s="27">
        <f t="shared" si="7"/>
        <v>1690</v>
      </c>
      <c r="Q94" s="25">
        <f t="shared" si="8"/>
        <v>4.1360946745562126</v>
      </c>
    </row>
    <row r="95" spans="1:17" s="26" customFormat="1" x14ac:dyDescent="0.2">
      <c r="A95" s="20" t="s">
        <v>14</v>
      </c>
      <c r="B95" s="21">
        <f>DATE(2016, 6,15)</f>
        <v>42536</v>
      </c>
      <c r="C95" s="20">
        <v>2016167</v>
      </c>
      <c r="D95" s="20">
        <f>67+(28.703/60)</f>
        <v>67.478383333333326</v>
      </c>
      <c r="E95" s="20">
        <f>-(63+(47.134/60))</f>
        <v>-63.785566666666668</v>
      </c>
      <c r="F95" s="20" t="s">
        <v>15</v>
      </c>
      <c r="G95" s="20" t="s">
        <v>23</v>
      </c>
      <c r="H95" s="20"/>
      <c r="I95" s="20"/>
      <c r="J95" s="22"/>
      <c r="K95" s="20">
        <v>4</v>
      </c>
      <c r="L95" s="20">
        <v>0.14000000000000001</v>
      </c>
      <c r="M95" s="22">
        <f>PI()*(L95/2)^2</f>
        <v>1.5393804002589988E-2</v>
      </c>
      <c r="N95" s="23">
        <v>12400</v>
      </c>
      <c r="O95" s="23">
        <v>15846</v>
      </c>
      <c r="P95" s="27">
        <f t="shared" si="7"/>
        <v>3446</v>
      </c>
      <c r="Q95" s="25">
        <f t="shared" si="8"/>
        <v>4.5983749274521184</v>
      </c>
    </row>
    <row r="96" spans="1:17" x14ac:dyDescent="0.2">
      <c r="A96" s="6" t="s">
        <v>14</v>
      </c>
      <c r="B96" s="7">
        <v>42536</v>
      </c>
      <c r="C96" s="6">
        <v>2016167</v>
      </c>
      <c r="D96" s="6">
        <v>67.478383333333326</v>
      </c>
      <c r="E96" s="6">
        <v>-63.785566666666668</v>
      </c>
      <c r="F96" s="6" t="s">
        <v>25</v>
      </c>
      <c r="G96" s="6" t="s">
        <v>22</v>
      </c>
      <c r="H96" s="6">
        <v>1</v>
      </c>
      <c r="I96" s="6">
        <v>0.09</v>
      </c>
      <c r="J96" s="17">
        <f>PI()*(I96/2)^2</f>
        <v>6.3617251235193305E-3</v>
      </c>
      <c r="K96" s="6">
        <v>0</v>
      </c>
      <c r="L96" s="17"/>
      <c r="M96" s="17"/>
      <c r="N96" s="12">
        <v>515</v>
      </c>
      <c r="O96" s="12">
        <v>670</v>
      </c>
      <c r="P96" s="12">
        <f t="shared" si="7"/>
        <v>155</v>
      </c>
      <c r="Q96" s="10">
        <f t="shared" si="8"/>
        <v>4.32258064516129</v>
      </c>
    </row>
    <row r="97" spans="1:17" x14ac:dyDescent="0.2">
      <c r="A97" s="6" t="s">
        <v>14</v>
      </c>
      <c r="B97" s="7">
        <v>42536</v>
      </c>
      <c r="C97" s="6">
        <v>2016167</v>
      </c>
      <c r="D97" s="6">
        <v>67.478383333333326</v>
      </c>
      <c r="E97" s="6">
        <v>-63.785566666666668</v>
      </c>
      <c r="F97" s="6" t="s">
        <v>25</v>
      </c>
      <c r="G97" s="6" t="s">
        <v>23</v>
      </c>
      <c r="H97" s="6">
        <v>1</v>
      </c>
      <c r="I97" s="6">
        <v>0.09</v>
      </c>
      <c r="J97" s="17">
        <f>PI()*(I97/2)^2</f>
        <v>6.3617251235193305E-3</v>
      </c>
      <c r="K97" s="6">
        <v>0</v>
      </c>
      <c r="L97" s="17"/>
      <c r="M97" s="17"/>
      <c r="N97" s="12">
        <v>1200</v>
      </c>
      <c r="O97" s="12">
        <v>1600</v>
      </c>
      <c r="P97" s="12">
        <f t="shared" si="7"/>
        <v>400</v>
      </c>
      <c r="Q97" s="10">
        <f t="shared" si="8"/>
        <v>4</v>
      </c>
    </row>
    <row r="98" spans="1:17" ht="16" customHeight="1" x14ac:dyDescent="0.2">
      <c r="A98" s="6" t="s">
        <v>14</v>
      </c>
      <c r="B98" s="7">
        <f>DATE(2016, 6,17)</f>
        <v>42538</v>
      </c>
      <c r="C98" s="6">
        <v>2016169</v>
      </c>
      <c r="D98" s="6">
        <f>67+(28.702/60)</f>
        <v>67.478366666666673</v>
      </c>
      <c r="E98" s="6">
        <f>-(63+(47.12/60))</f>
        <v>-63.785333333333334</v>
      </c>
      <c r="F98" s="6" t="s">
        <v>18</v>
      </c>
      <c r="G98" s="6" t="s">
        <v>24</v>
      </c>
      <c r="H98" s="6">
        <v>1</v>
      </c>
      <c r="I98" s="6">
        <v>0.09</v>
      </c>
      <c r="J98" s="17">
        <f>PI()*(I98/2)^2</f>
        <v>6.3617251235193305E-3</v>
      </c>
      <c r="K98" s="6">
        <v>2</v>
      </c>
      <c r="L98" s="6">
        <v>0.14000000000000001</v>
      </c>
      <c r="M98" s="17">
        <f>PI()*(L98/2)^2</f>
        <v>1.5393804002589988E-2</v>
      </c>
      <c r="N98" s="8">
        <v>8000</v>
      </c>
      <c r="O98" s="8">
        <v>8340</v>
      </c>
      <c r="P98" s="13">
        <f t="shared" ref="P98:P129" si="9">O98-N98</f>
        <v>340</v>
      </c>
      <c r="Q98" s="10">
        <f t="shared" ref="Q98:Q129" si="10">O98/P98</f>
        <v>24.529411764705884</v>
      </c>
    </row>
    <row r="99" spans="1:17" s="26" customFormat="1" x14ac:dyDescent="0.2">
      <c r="A99" s="20" t="s">
        <v>14</v>
      </c>
      <c r="B99" s="21">
        <f>DATE(2016, 6,17)</f>
        <v>42538</v>
      </c>
      <c r="C99" s="20">
        <v>2016169</v>
      </c>
      <c r="D99" s="20">
        <f>67+(28.702/60)</f>
        <v>67.478366666666673</v>
      </c>
      <c r="E99" s="20">
        <f>-(63+(47.12/60))</f>
        <v>-63.785333333333334</v>
      </c>
      <c r="F99" s="20" t="s">
        <v>15</v>
      </c>
      <c r="G99" s="20" t="s">
        <v>22</v>
      </c>
      <c r="H99" s="20"/>
      <c r="I99" s="20"/>
      <c r="J99" s="22"/>
      <c r="K99" s="20">
        <v>4</v>
      </c>
      <c r="L99" s="20">
        <v>0.14000000000000001</v>
      </c>
      <c r="M99" s="22">
        <f>PI()*(L99/2)^2</f>
        <v>1.5393804002589988E-2</v>
      </c>
      <c r="N99" s="23">
        <v>5300</v>
      </c>
      <c r="O99" s="23">
        <v>6940</v>
      </c>
      <c r="P99" s="27">
        <f t="shared" si="9"/>
        <v>1640</v>
      </c>
      <c r="Q99" s="25">
        <f t="shared" si="10"/>
        <v>4.2317073170731705</v>
      </c>
    </row>
    <row r="100" spans="1:17" s="26" customFormat="1" x14ac:dyDescent="0.2">
      <c r="A100" s="20" t="s">
        <v>14</v>
      </c>
      <c r="B100" s="21">
        <f>DATE(2016, 6,17)</f>
        <v>42538</v>
      </c>
      <c r="C100" s="20">
        <v>2016169</v>
      </c>
      <c r="D100" s="20">
        <f>67+(28.702/60)</f>
        <v>67.478366666666673</v>
      </c>
      <c r="E100" s="20">
        <f>-(63+(47.12/60))</f>
        <v>-63.785333333333334</v>
      </c>
      <c r="F100" s="20" t="s">
        <v>15</v>
      </c>
      <c r="G100" s="20" t="s">
        <v>23</v>
      </c>
      <c r="H100" s="20"/>
      <c r="I100" s="20"/>
      <c r="J100" s="22"/>
      <c r="K100" s="20">
        <v>4</v>
      </c>
      <c r="L100" s="20">
        <v>0.14000000000000001</v>
      </c>
      <c r="M100" s="22">
        <f>PI()*(L100/2)^2</f>
        <v>1.5393804002589988E-2</v>
      </c>
      <c r="N100" s="23">
        <v>12400</v>
      </c>
      <c r="O100" s="23">
        <v>16355</v>
      </c>
      <c r="P100" s="27">
        <f t="shared" si="9"/>
        <v>3955</v>
      </c>
      <c r="Q100" s="25">
        <f t="shared" si="10"/>
        <v>4.1352718078381798</v>
      </c>
    </row>
    <row r="101" spans="1:17" x14ac:dyDescent="0.2">
      <c r="A101" s="6" t="s">
        <v>14</v>
      </c>
      <c r="B101" s="7">
        <v>42538</v>
      </c>
      <c r="C101" s="6">
        <v>2016169</v>
      </c>
      <c r="D101" s="6">
        <v>67.478366666666673</v>
      </c>
      <c r="E101" s="6">
        <v>-63.785333333333334</v>
      </c>
      <c r="F101" s="6" t="s">
        <v>25</v>
      </c>
      <c r="G101" s="6" t="s">
        <v>22</v>
      </c>
      <c r="H101" s="6">
        <v>1</v>
      </c>
      <c r="I101" s="6">
        <v>0.09</v>
      </c>
      <c r="J101" s="17">
        <f>PI()*(I101/2)^2</f>
        <v>6.3617251235193305E-3</v>
      </c>
      <c r="K101" s="6">
        <v>0</v>
      </c>
      <c r="L101" s="17"/>
      <c r="M101" s="17"/>
      <c r="N101" s="12">
        <v>515</v>
      </c>
      <c r="O101" s="12">
        <v>740</v>
      </c>
      <c r="P101" s="12">
        <f t="shared" si="9"/>
        <v>225</v>
      </c>
      <c r="Q101" s="10">
        <f t="shared" si="10"/>
        <v>3.2888888888888888</v>
      </c>
    </row>
    <row r="102" spans="1:17" x14ac:dyDescent="0.2">
      <c r="A102" s="6" t="s">
        <v>14</v>
      </c>
      <c r="B102" s="7">
        <v>42538</v>
      </c>
      <c r="C102" s="6">
        <v>2016169</v>
      </c>
      <c r="D102" s="6">
        <v>67.478366666666673</v>
      </c>
      <c r="E102" s="6">
        <v>-63.785333333333334</v>
      </c>
      <c r="F102" s="6" t="s">
        <v>25</v>
      </c>
      <c r="G102" s="6" t="s">
        <v>23</v>
      </c>
      <c r="H102" s="6">
        <v>1</v>
      </c>
      <c r="I102" s="6">
        <v>0.09</v>
      </c>
      <c r="J102" s="17">
        <f>PI()*(I102/2)^2</f>
        <v>6.3617251235193305E-3</v>
      </c>
      <c r="K102" s="6">
        <v>0</v>
      </c>
      <c r="L102" s="17"/>
      <c r="M102" s="17"/>
      <c r="N102" s="12">
        <v>1200</v>
      </c>
      <c r="O102" s="12">
        <v>1570</v>
      </c>
      <c r="P102" s="12">
        <f t="shared" si="9"/>
        <v>370</v>
      </c>
      <c r="Q102" s="10">
        <f t="shared" si="10"/>
        <v>4.243243243243243</v>
      </c>
    </row>
    <row r="103" spans="1:17" x14ac:dyDescent="0.2">
      <c r="A103" s="6" t="s">
        <v>14</v>
      </c>
      <c r="B103" s="7">
        <f>DATE(2016, 6,20)</f>
        <v>42541</v>
      </c>
      <c r="C103" s="6">
        <v>2016172</v>
      </c>
      <c r="D103" s="6">
        <f>67+(28.664/60)</f>
        <v>67.477733333333333</v>
      </c>
      <c r="E103" s="6">
        <f>-(63+(46.924/60))</f>
        <v>-63.782066666666665</v>
      </c>
      <c r="F103" s="6" t="s">
        <v>18</v>
      </c>
      <c r="G103" s="6" t="s">
        <v>24</v>
      </c>
      <c r="H103" s="6">
        <v>1</v>
      </c>
      <c r="I103" s="6">
        <v>0.09</v>
      </c>
      <c r="J103" s="17">
        <f>PI()*(I103/2)^2</f>
        <v>6.3617251235193305E-3</v>
      </c>
      <c r="K103" s="6">
        <v>2</v>
      </c>
      <c r="L103" s="6">
        <v>0.14000000000000001</v>
      </c>
      <c r="M103" s="17">
        <f>PI()*(L103/2)^2</f>
        <v>1.5393804002589988E-2</v>
      </c>
      <c r="N103" s="8">
        <v>8000</v>
      </c>
      <c r="O103" s="8">
        <v>8360</v>
      </c>
      <c r="P103" s="13">
        <f t="shared" si="9"/>
        <v>360</v>
      </c>
      <c r="Q103" s="10">
        <f t="shared" si="10"/>
        <v>23.222222222222221</v>
      </c>
    </row>
    <row r="104" spans="1:17" s="26" customFormat="1" x14ac:dyDescent="0.2">
      <c r="A104" s="20" t="s">
        <v>14</v>
      </c>
      <c r="B104" s="21">
        <f>DATE(2016, 6,20)</f>
        <v>42541</v>
      </c>
      <c r="C104" s="20">
        <v>2016172</v>
      </c>
      <c r="D104" s="20">
        <f>67+(28.664/60)</f>
        <v>67.477733333333333</v>
      </c>
      <c r="E104" s="20">
        <f>-(63+(46.924/60))</f>
        <v>-63.782066666666665</v>
      </c>
      <c r="F104" s="20" t="s">
        <v>15</v>
      </c>
      <c r="G104" s="20" t="s">
        <v>22</v>
      </c>
      <c r="H104" s="20"/>
      <c r="I104" s="20"/>
      <c r="J104" s="22"/>
      <c r="K104" s="20">
        <v>4</v>
      </c>
      <c r="L104" s="20">
        <v>0.14000000000000001</v>
      </c>
      <c r="M104" s="22">
        <f>PI()*(L104/2)^2</f>
        <v>1.5393804002589988E-2</v>
      </c>
      <c r="N104" s="23">
        <v>5300</v>
      </c>
      <c r="O104" s="23">
        <v>6824</v>
      </c>
      <c r="P104" s="27">
        <f t="shared" si="9"/>
        <v>1524</v>
      </c>
      <c r="Q104" s="25">
        <f t="shared" si="10"/>
        <v>4.4776902887139105</v>
      </c>
    </row>
    <row r="105" spans="1:17" s="26" customFormat="1" x14ac:dyDescent="0.2">
      <c r="A105" s="20" t="s">
        <v>14</v>
      </c>
      <c r="B105" s="21">
        <f>DATE(2016, 6,20)</f>
        <v>42541</v>
      </c>
      <c r="C105" s="20">
        <v>2016172</v>
      </c>
      <c r="D105" s="20">
        <f>67+(28.664/60)</f>
        <v>67.477733333333333</v>
      </c>
      <c r="E105" s="20">
        <f>-(63+(46.924/60))</f>
        <v>-63.782066666666665</v>
      </c>
      <c r="F105" s="20" t="s">
        <v>15</v>
      </c>
      <c r="G105" s="20" t="s">
        <v>23</v>
      </c>
      <c r="H105" s="20"/>
      <c r="I105" s="20"/>
      <c r="J105" s="22"/>
      <c r="K105" s="20">
        <v>4</v>
      </c>
      <c r="L105" s="20">
        <v>0.14000000000000001</v>
      </c>
      <c r="M105" s="22">
        <f>PI()*(L105/2)^2</f>
        <v>1.5393804002589988E-2</v>
      </c>
      <c r="N105" s="23">
        <v>12400</v>
      </c>
      <c r="O105" s="23">
        <v>16280</v>
      </c>
      <c r="P105" s="27">
        <f t="shared" si="9"/>
        <v>3880</v>
      </c>
      <c r="Q105" s="25">
        <f t="shared" si="10"/>
        <v>4.195876288659794</v>
      </c>
    </row>
    <row r="106" spans="1:17" x14ac:dyDescent="0.2">
      <c r="A106" s="6" t="s">
        <v>14</v>
      </c>
      <c r="B106" s="7">
        <v>42541</v>
      </c>
      <c r="C106" s="6">
        <v>2016172</v>
      </c>
      <c r="D106" s="6">
        <v>67.477733333333333</v>
      </c>
      <c r="E106" s="6">
        <v>-63.782066666666665</v>
      </c>
      <c r="F106" s="6" t="s">
        <v>25</v>
      </c>
      <c r="G106" s="6" t="s">
        <v>22</v>
      </c>
      <c r="H106" s="6">
        <v>1</v>
      </c>
      <c r="I106" s="6">
        <v>0.09</v>
      </c>
      <c r="J106" s="17">
        <f>PI()*(I106/2)^2</f>
        <v>6.3617251235193305E-3</v>
      </c>
      <c r="K106" s="6">
        <v>0</v>
      </c>
      <c r="L106" s="17"/>
      <c r="M106" s="17"/>
      <c r="N106" s="12">
        <v>515</v>
      </c>
      <c r="O106" s="12">
        <v>640</v>
      </c>
      <c r="P106" s="12">
        <f t="shared" si="9"/>
        <v>125</v>
      </c>
      <c r="Q106" s="10">
        <f t="shared" si="10"/>
        <v>5.12</v>
      </c>
    </row>
    <row r="107" spans="1:17" x14ac:dyDescent="0.2">
      <c r="A107" s="6" t="s">
        <v>14</v>
      </c>
      <c r="B107" s="7">
        <v>42541</v>
      </c>
      <c r="C107" s="6">
        <v>2016172</v>
      </c>
      <c r="D107" s="6">
        <v>67.477733333333333</v>
      </c>
      <c r="E107" s="6">
        <v>-63.782066666666665</v>
      </c>
      <c r="F107" s="6" t="s">
        <v>25</v>
      </c>
      <c r="G107" s="6" t="s">
        <v>23</v>
      </c>
      <c r="H107" s="6">
        <v>1</v>
      </c>
      <c r="I107" s="6">
        <v>0.09</v>
      </c>
      <c r="J107" s="17">
        <f>PI()*(I107/2)^2</f>
        <v>6.3617251235193305E-3</v>
      </c>
      <c r="K107" s="6">
        <v>0</v>
      </c>
      <c r="L107" s="17"/>
      <c r="M107" s="17"/>
      <c r="N107" s="12">
        <v>1200</v>
      </c>
      <c r="O107" s="12">
        <v>1580</v>
      </c>
      <c r="P107" s="12">
        <f t="shared" si="9"/>
        <v>380</v>
      </c>
      <c r="Q107" s="10">
        <f t="shared" si="10"/>
        <v>4.1578947368421053</v>
      </c>
    </row>
    <row r="108" spans="1:17" x14ac:dyDescent="0.2">
      <c r="A108" s="6" t="s">
        <v>14</v>
      </c>
      <c r="B108" s="7">
        <f>DATE(2016, 6,22)</f>
        <v>42543</v>
      </c>
      <c r="C108" s="6">
        <v>2016174</v>
      </c>
      <c r="D108" s="6">
        <f>67+(28.663/60)</f>
        <v>67.477716666666666</v>
      </c>
      <c r="E108" s="6">
        <f>-(63+(46.891/60))</f>
        <v>-63.781516666666668</v>
      </c>
      <c r="F108" s="6" t="s">
        <v>18</v>
      </c>
      <c r="G108" s="6" t="s">
        <v>24</v>
      </c>
      <c r="H108" s="6">
        <v>1</v>
      </c>
      <c r="I108" s="6">
        <v>0.09</v>
      </c>
      <c r="J108" s="17">
        <f>PI()*(I108/2)^2</f>
        <v>6.3617251235193305E-3</v>
      </c>
      <c r="K108" s="6">
        <v>2</v>
      </c>
      <c r="L108" s="6">
        <v>0.14000000000000001</v>
      </c>
      <c r="M108" s="17">
        <f>PI()*(L108/2)^2</f>
        <v>1.5393804002589988E-2</v>
      </c>
      <c r="N108" s="8">
        <v>8000</v>
      </c>
      <c r="O108" s="8">
        <v>8380</v>
      </c>
      <c r="P108" s="13">
        <f t="shared" si="9"/>
        <v>380</v>
      </c>
      <c r="Q108" s="10">
        <f t="shared" si="10"/>
        <v>22.05263157894737</v>
      </c>
    </row>
    <row r="109" spans="1:17" s="26" customFormat="1" x14ac:dyDescent="0.2">
      <c r="A109" s="20" t="s">
        <v>14</v>
      </c>
      <c r="B109" s="21">
        <f>DATE(2016, 6,22)</f>
        <v>42543</v>
      </c>
      <c r="C109" s="20">
        <v>2016174</v>
      </c>
      <c r="D109" s="20">
        <f>67+(28.663/60)</f>
        <v>67.477716666666666</v>
      </c>
      <c r="E109" s="20">
        <f>-(63+(46.891/60))</f>
        <v>-63.781516666666668</v>
      </c>
      <c r="F109" s="20" t="s">
        <v>15</v>
      </c>
      <c r="G109" s="20" t="s">
        <v>22</v>
      </c>
      <c r="H109" s="20"/>
      <c r="I109" s="20"/>
      <c r="J109" s="22"/>
      <c r="K109" s="20">
        <v>4</v>
      </c>
      <c r="L109" s="20">
        <v>0.14000000000000001</v>
      </c>
      <c r="M109" s="22">
        <f>PI()*(L109/2)^2</f>
        <v>1.5393804002589988E-2</v>
      </c>
      <c r="N109" s="23">
        <v>5300</v>
      </c>
      <c r="O109" s="23">
        <v>6600</v>
      </c>
      <c r="P109" s="27">
        <f t="shared" si="9"/>
        <v>1300</v>
      </c>
      <c r="Q109" s="25">
        <f t="shared" si="10"/>
        <v>5.0769230769230766</v>
      </c>
    </row>
    <row r="110" spans="1:17" s="26" customFormat="1" x14ac:dyDescent="0.2">
      <c r="A110" s="20" t="s">
        <v>14</v>
      </c>
      <c r="B110" s="21">
        <f>DATE(2016, 6,22)</f>
        <v>42543</v>
      </c>
      <c r="C110" s="20">
        <v>2016174</v>
      </c>
      <c r="D110" s="20">
        <f>67+(28.663/60)</f>
        <v>67.477716666666666</v>
      </c>
      <c r="E110" s="20">
        <f>-(63+(46.891/60))</f>
        <v>-63.781516666666668</v>
      </c>
      <c r="F110" s="20" t="s">
        <v>15</v>
      </c>
      <c r="G110" s="20" t="s">
        <v>23</v>
      </c>
      <c r="H110" s="20"/>
      <c r="I110" s="20"/>
      <c r="J110" s="22"/>
      <c r="K110" s="20">
        <v>4</v>
      </c>
      <c r="L110" s="20">
        <v>0.14000000000000001</v>
      </c>
      <c r="M110" s="22">
        <f>PI()*(L110/2)^2</f>
        <v>1.5393804002589988E-2</v>
      </c>
      <c r="N110" s="23">
        <v>12400</v>
      </c>
      <c r="O110" s="23">
        <v>17060</v>
      </c>
      <c r="P110" s="27">
        <f t="shared" si="9"/>
        <v>4660</v>
      </c>
      <c r="Q110" s="25">
        <f t="shared" si="10"/>
        <v>3.6609442060085837</v>
      </c>
    </row>
    <row r="111" spans="1:17" x14ac:dyDescent="0.2">
      <c r="A111" s="6" t="s">
        <v>14</v>
      </c>
      <c r="B111" s="7">
        <v>42543</v>
      </c>
      <c r="C111" s="6">
        <v>2016174</v>
      </c>
      <c r="D111" s="6">
        <v>67.477716666666666</v>
      </c>
      <c r="E111" s="6">
        <v>-63.781516666666668</v>
      </c>
      <c r="F111" s="6" t="s">
        <v>25</v>
      </c>
      <c r="G111" s="6" t="s">
        <v>22</v>
      </c>
      <c r="H111" s="6">
        <v>1</v>
      </c>
      <c r="I111" s="6">
        <v>0.09</v>
      </c>
      <c r="J111" s="17">
        <f>PI()*(I111/2)^2</f>
        <v>6.3617251235193305E-3</v>
      </c>
      <c r="K111" s="6">
        <v>0</v>
      </c>
      <c r="L111" s="17"/>
      <c r="M111" s="17"/>
      <c r="N111" s="12">
        <v>515</v>
      </c>
      <c r="O111" s="12">
        <v>745</v>
      </c>
      <c r="P111" s="12">
        <f t="shared" si="9"/>
        <v>230</v>
      </c>
      <c r="Q111" s="10">
        <f t="shared" si="10"/>
        <v>3.2391304347826089</v>
      </c>
    </row>
    <row r="112" spans="1:17" x14ac:dyDescent="0.2">
      <c r="A112" s="6" t="s">
        <v>14</v>
      </c>
      <c r="B112" s="7">
        <v>42543</v>
      </c>
      <c r="C112" s="6">
        <v>2016174</v>
      </c>
      <c r="D112" s="6">
        <v>67.477716666666666</v>
      </c>
      <c r="E112" s="6">
        <v>-63.781516666666668</v>
      </c>
      <c r="F112" s="6" t="s">
        <v>25</v>
      </c>
      <c r="G112" s="6" t="s">
        <v>23</v>
      </c>
      <c r="H112" s="6">
        <v>1</v>
      </c>
      <c r="I112" s="6">
        <v>0.09</v>
      </c>
      <c r="J112" s="17">
        <f>PI()*(I112/2)^2</f>
        <v>6.3617251235193305E-3</v>
      </c>
      <c r="K112" s="6">
        <v>0</v>
      </c>
      <c r="L112" s="17"/>
      <c r="M112" s="17"/>
      <c r="N112" s="12">
        <v>1200</v>
      </c>
      <c r="O112" s="12">
        <v>1580</v>
      </c>
      <c r="P112" s="12">
        <f t="shared" si="9"/>
        <v>380</v>
      </c>
      <c r="Q112" s="10">
        <f t="shared" si="10"/>
        <v>4.1578947368421053</v>
      </c>
    </row>
    <row r="113" spans="1:17" x14ac:dyDescent="0.2">
      <c r="A113" s="6" t="s">
        <v>14</v>
      </c>
      <c r="B113" s="7">
        <f>DATE(2016, 6,24)</f>
        <v>42545</v>
      </c>
      <c r="C113" s="6">
        <v>2016176</v>
      </c>
      <c r="D113" s="6">
        <f>67+(28.661/60)</f>
        <v>67.477683333333331</v>
      </c>
      <c r="E113" s="6">
        <f>-(63+(46.869/60))</f>
        <v>-63.781149999999997</v>
      </c>
      <c r="F113" s="6" t="s">
        <v>18</v>
      </c>
      <c r="G113" s="6" t="s">
        <v>24</v>
      </c>
      <c r="H113" s="6">
        <v>1</v>
      </c>
      <c r="I113" s="6">
        <v>0.09</v>
      </c>
      <c r="J113" s="17">
        <f>PI()*(I113/2)^2</f>
        <v>6.3617251235193305E-3</v>
      </c>
      <c r="K113" s="6">
        <v>2</v>
      </c>
      <c r="L113" s="6">
        <v>0.14000000000000001</v>
      </c>
      <c r="M113" s="17">
        <f>PI()*(L113/2)^2</f>
        <v>1.5393804002589988E-2</v>
      </c>
      <c r="N113" s="8">
        <v>8000</v>
      </c>
      <c r="O113" s="8">
        <v>8440</v>
      </c>
      <c r="P113" s="13">
        <f t="shared" si="9"/>
        <v>440</v>
      </c>
      <c r="Q113" s="10">
        <f t="shared" si="10"/>
        <v>19.181818181818183</v>
      </c>
    </row>
    <row r="114" spans="1:17" s="26" customFormat="1" x14ac:dyDescent="0.2">
      <c r="A114" s="20" t="s">
        <v>14</v>
      </c>
      <c r="B114" s="21">
        <f>DATE(2016, 6,24)</f>
        <v>42545</v>
      </c>
      <c r="C114" s="20">
        <v>2016176</v>
      </c>
      <c r="D114" s="20">
        <f>67+(28.661/60)</f>
        <v>67.477683333333331</v>
      </c>
      <c r="E114" s="20">
        <f>-(63+(46.869/60))</f>
        <v>-63.781149999999997</v>
      </c>
      <c r="F114" s="20" t="s">
        <v>15</v>
      </c>
      <c r="G114" s="20" t="s">
        <v>22</v>
      </c>
      <c r="H114" s="20"/>
      <c r="I114" s="20"/>
      <c r="J114" s="22"/>
      <c r="K114" s="20">
        <v>4</v>
      </c>
      <c r="L114" s="20">
        <v>0.14000000000000001</v>
      </c>
      <c r="M114" s="22">
        <f>PI()*(L114/2)^2</f>
        <v>1.5393804002589988E-2</v>
      </c>
      <c r="N114" s="23">
        <v>5300</v>
      </c>
      <c r="O114" s="23">
        <v>7100</v>
      </c>
      <c r="P114" s="27">
        <f t="shared" si="9"/>
        <v>1800</v>
      </c>
      <c r="Q114" s="25">
        <f t="shared" si="10"/>
        <v>3.9444444444444446</v>
      </c>
    </row>
    <row r="115" spans="1:17" s="26" customFormat="1" x14ac:dyDescent="0.2">
      <c r="A115" s="20" t="s">
        <v>14</v>
      </c>
      <c r="B115" s="21">
        <f>DATE(2016, 6,24)</f>
        <v>42545</v>
      </c>
      <c r="C115" s="20">
        <v>2016176</v>
      </c>
      <c r="D115" s="20">
        <f>67+(28.661/60)</f>
        <v>67.477683333333331</v>
      </c>
      <c r="E115" s="20">
        <f>-(63+(46.869/60))</f>
        <v>-63.781149999999997</v>
      </c>
      <c r="F115" s="20" t="s">
        <v>15</v>
      </c>
      <c r="G115" s="20" t="s">
        <v>23</v>
      </c>
      <c r="H115" s="20"/>
      <c r="I115" s="20"/>
      <c r="J115" s="22"/>
      <c r="K115" s="20">
        <v>4</v>
      </c>
      <c r="L115" s="20">
        <v>0.14000000000000001</v>
      </c>
      <c r="M115" s="22">
        <f>PI()*(L115/2)^2</f>
        <v>1.5393804002589988E-2</v>
      </c>
      <c r="N115" s="23">
        <v>12400</v>
      </c>
      <c r="O115" s="23">
        <v>16160</v>
      </c>
      <c r="P115" s="27">
        <f t="shared" si="9"/>
        <v>3760</v>
      </c>
      <c r="Q115" s="25">
        <f t="shared" si="10"/>
        <v>4.2978723404255321</v>
      </c>
    </row>
    <row r="116" spans="1:17" x14ac:dyDescent="0.2">
      <c r="A116" s="6" t="s">
        <v>14</v>
      </c>
      <c r="B116" s="7">
        <v>42545</v>
      </c>
      <c r="C116" s="6">
        <v>2016176</v>
      </c>
      <c r="D116" s="6">
        <v>67.477683333333331</v>
      </c>
      <c r="E116" s="6">
        <v>-63.781149999999997</v>
      </c>
      <c r="F116" s="6" t="s">
        <v>25</v>
      </c>
      <c r="G116" s="6" t="s">
        <v>22</v>
      </c>
      <c r="H116" s="6">
        <v>1</v>
      </c>
      <c r="I116" s="6">
        <v>0.09</v>
      </c>
      <c r="J116" s="17">
        <f>PI()*(I116/2)^2</f>
        <v>6.3617251235193305E-3</v>
      </c>
      <c r="K116" s="6">
        <v>0</v>
      </c>
      <c r="L116" s="17"/>
      <c r="M116" s="17"/>
      <c r="N116" s="12">
        <v>515</v>
      </c>
      <c r="O116" s="12">
        <v>625</v>
      </c>
      <c r="P116" s="12">
        <f t="shared" si="9"/>
        <v>110</v>
      </c>
      <c r="Q116" s="10">
        <f t="shared" si="10"/>
        <v>5.6818181818181817</v>
      </c>
    </row>
    <row r="117" spans="1:17" x14ac:dyDescent="0.2">
      <c r="A117" s="6" t="s">
        <v>14</v>
      </c>
      <c r="B117" s="7">
        <v>42545</v>
      </c>
      <c r="C117" s="6">
        <v>2016176</v>
      </c>
      <c r="D117" s="6">
        <v>67.477683333333331</v>
      </c>
      <c r="E117" s="6">
        <v>-63.781149999999997</v>
      </c>
      <c r="F117" s="6" t="s">
        <v>25</v>
      </c>
      <c r="G117" s="6" t="s">
        <v>23</v>
      </c>
      <c r="H117" s="6">
        <v>1</v>
      </c>
      <c r="I117" s="6">
        <v>0.09</v>
      </c>
      <c r="J117" s="17">
        <f>PI()*(I117/2)^2</f>
        <v>6.3617251235193305E-3</v>
      </c>
      <c r="K117" s="6">
        <v>0</v>
      </c>
      <c r="L117" s="17"/>
      <c r="M117" s="17"/>
      <c r="N117" s="12">
        <v>1200</v>
      </c>
      <c r="O117" s="12">
        <v>1470</v>
      </c>
      <c r="P117" s="12">
        <f t="shared" si="9"/>
        <v>270</v>
      </c>
      <c r="Q117" s="10">
        <f t="shared" si="10"/>
        <v>5.4444444444444446</v>
      </c>
    </row>
    <row r="118" spans="1:17" x14ac:dyDescent="0.2">
      <c r="A118" s="6" t="s">
        <v>14</v>
      </c>
      <c r="B118" s="7">
        <f>DATE(2016, 6,27)</f>
        <v>42548</v>
      </c>
      <c r="C118" s="6">
        <v>2016179</v>
      </c>
      <c r="D118" s="6">
        <f>67+(28.648/60)</f>
        <v>67.477466666666672</v>
      </c>
      <c r="E118" s="6">
        <f>-(63+(46.875/60))</f>
        <v>-63.78125</v>
      </c>
      <c r="F118" s="6" t="s">
        <v>18</v>
      </c>
      <c r="G118" s="6" t="s">
        <v>24</v>
      </c>
      <c r="H118" s="6">
        <v>1</v>
      </c>
      <c r="I118" s="6">
        <v>0.09</v>
      </c>
      <c r="J118" s="17">
        <f>PI()*(I118/2)^2</f>
        <v>6.3617251235193305E-3</v>
      </c>
      <c r="K118" s="6">
        <v>2</v>
      </c>
      <c r="L118" s="6">
        <v>0.14000000000000001</v>
      </c>
      <c r="M118" s="17">
        <f>PI()*(L118/2)^2</f>
        <v>1.5393804002589988E-2</v>
      </c>
      <c r="N118" s="8">
        <v>7400</v>
      </c>
      <c r="O118" s="8">
        <v>7870</v>
      </c>
      <c r="P118" s="13">
        <f t="shared" si="9"/>
        <v>470</v>
      </c>
      <c r="Q118" s="10">
        <f t="shared" si="10"/>
        <v>16.74468085106383</v>
      </c>
    </row>
    <row r="119" spans="1:17" s="32" customFormat="1" x14ac:dyDescent="0.2">
      <c r="A119" s="28" t="s">
        <v>14</v>
      </c>
      <c r="B119" s="29">
        <f>DATE(2016, 6,27)</f>
        <v>42548</v>
      </c>
      <c r="C119" s="28">
        <v>2016179</v>
      </c>
      <c r="D119" s="28">
        <f>67+(28.648/60)</f>
        <v>67.477466666666672</v>
      </c>
      <c r="E119" s="28">
        <f>-(63+(46.875/60))</f>
        <v>-63.78125</v>
      </c>
      <c r="F119" s="28" t="s">
        <v>15</v>
      </c>
      <c r="G119" s="28" t="s">
        <v>22</v>
      </c>
      <c r="H119" s="28"/>
      <c r="I119" s="28"/>
      <c r="J119" s="30"/>
      <c r="K119" s="28">
        <v>4</v>
      </c>
      <c r="L119" s="28">
        <v>0.14000000000000001</v>
      </c>
      <c r="M119" s="30">
        <f>PI()*(L119/2)^2</f>
        <v>1.5393804002589988E-2</v>
      </c>
      <c r="N119" s="33">
        <v>5300</v>
      </c>
      <c r="O119" s="33">
        <v>7120</v>
      </c>
      <c r="P119" s="34">
        <f t="shared" si="9"/>
        <v>1820</v>
      </c>
      <c r="Q119" s="35">
        <f t="shared" si="10"/>
        <v>3.912087912087912</v>
      </c>
    </row>
    <row r="120" spans="1:17" s="32" customFormat="1" x14ac:dyDescent="0.2">
      <c r="A120" s="28" t="s">
        <v>14</v>
      </c>
      <c r="B120" s="29">
        <f>DATE(2016, 6,27)</f>
        <v>42548</v>
      </c>
      <c r="C120" s="28">
        <v>2016179</v>
      </c>
      <c r="D120" s="28">
        <f>67+(28.648/60)</f>
        <v>67.477466666666672</v>
      </c>
      <c r="E120" s="28">
        <f>-(63+(46.875/60))</f>
        <v>-63.78125</v>
      </c>
      <c r="F120" s="28" t="s">
        <v>15</v>
      </c>
      <c r="G120" s="28" t="s">
        <v>23</v>
      </c>
      <c r="H120" s="28"/>
      <c r="I120" s="28"/>
      <c r="J120" s="30"/>
      <c r="K120" s="28">
        <v>4</v>
      </c>
      <c r="L120" s="28">
        <v>0.14000000000000001</v>
      </c>
      <c r="M120" s="30">
        <f>PI()*(L120/2)^2</f>
        <v>1.5393804002589988E-2</v>
      </c>
      <c r="N120" s="33">
        <v>12400</v>
      </c>
      <c r="O120" s="33">
        <v>16593</v>
      </c>
      <c r="P120" s="34">
        <f t="shared" si="9"/>
        <v>4193</v>
      </c>
      <c r="Q120" s="35">
        <f t="shared" si="10"/>
        <v>3.9573098020510376</v>
      </c>
    </row>
    <row r="121" spans="1:17" x14ac:dyDescent="0.2">
      <c r="A121" s="6" t="s">
        <v>14</v>
      </c>
      <c r="B121" s="7">
        <v>42548</v>
      </c>
      <c r="C121" s="6">
        <v>2016179</v>
      </c>
      <c r="D121" s="6">
        <v>67.477466666666672</v>
      </c>
      <c r="E121" s="6">
        <v>-63.78125</v>
      </c>
      <c r="F121" s="6" t="s">
        <v>25</v>
      </c>
      <c r="G121" s="6" t="s">
        <v>22</v>
      </c>
      <c r="H121" s="6">
        <v>1</v>
      </c>
      <c r="I121" s="6">
        <v>0.09</v>
      </c>
      <c r="J121" s="17">
        <f>PI()*(I121/2)^2</f>
        <v>6.3617251235193305E-3</v>
      </c>
      <c r="K121" s="6">
        <v>0</v>
      </c>
      <c r="L121" s="17"/>
      <c r="M121" s="17"/>
      <c r="N121" s="12">
        <v>515</v>
      </c>
      <c r="O121" s="12">
        <v>687</v>
      </c>
      <c r="P121" s="12">
        <f t="shared" si="9"/>
        <v>172</v>
      </c>
      <c r="Q121" s="10">
        <f t="shared" si="10"/>
        <v>3.9941860465116279</v>
      </c>
    </row>
    <row r="122" spans="1:17" x14ac:dyDescent="0.2">
      <c r="A122" s="6" t="s">
        <v>14</v>
      </c>
      <c r="B122" s="7">
        <v>42548</v>
      </c>
      <c r="C122" s="6">
        <v>2016179</v>
      </c>
      <c r="D122" s="6">
        <v>67.477466666666672</v>
      </c>
      <c r="E122" s="6">
        <v>-63.78125</v>
      </c>
      <c r="F122" s="6" t="s">
        <v>25</v>
      </c>
      <c r="G122" s="6" t="s">
        <v>23</v>
      </c>
      <c r="H122" s="6">
        <v>1</v>
      </c>
      <c r="I122" s="6">
        <v>0.09</v>
      </c>
      <c r="J122" s="17">
        <f>PI()*(I122/2)^2</f>
        <v>6.3617251235193305E-3</v>
      </c>
      <c r="K122" s="6">
        <v>0</v>
      </c>
      <c r="L122" s="17"/>
      <c r="M122" s="17"/>
      <c r="N122" s="12">
        <v>1200</v>
      </c>
      <c r="O122" s="12">
        <v>1622</v>
      </c>
      <c r="P122" s="12">
        <f t="shared" si="9"/>
        <v>422</v>
      </c>
      <c r="Q122" s="10">
        <f t="shared" si="10"/>
        <v>3.8436018957345972</v>
      </c>
    </row>
    <row r="123" spans="1:17" x14ac:dyDescent="0.2">
      <c r="A123" s="6" t="s">
        <v>14</v>
      </c>
      <c r="B123" s="7">
        <f>DATE(2016, 6,29)</f>
        <v>42550</v>
      </c>
      <c r="C123" s="6">
        <v>2016181</v>
      </c>
      <c r="D123" s="6">
        <f>67+(28.633/60)</f>
        <v>67.477216666666664</v>
      </c>
      <c r="E123" s="6">
        <f>-(63+(46.867/60))</f>
        <v>-63.781116666666669</v>
      </c>
      <c r="F123" s="6" t="s">
        <v>18</v>
      </c>
      <c r="G123" s="6" t="s">
        <v>24</v>
      </c>
      <c r="H123" s="6">
        <v>1</v>
      </c>
      <c r="I123" s="6">
        <v>0.09</v>
      </c>
      <c r="J123" s="17">
        <f>PI()*(I123/2)^2</f>
        <v>6.3617251235193305E-3</v>
      </c>
      <c r="K123" s="6">
        <v>2</v>
      </c>
      <c r="L123" s="6">
        <v>0.14000000000000001</v>
      </c>
      <c r="M123" s="17">
        <f>PI()*(L123/2)^2</f>
        <v>1.5393804002589988E-2</v>
      </c>
      <c r="N123" s="8">
        <v>8000</v>
      </c>
      <c r="O123" s="8">
        <v>8140</v>
      </c>
      <c r="P123" s="13">
        <f t="shared" si="9"/>
        <v>140</v>
      </c>
      <c r="Q123" s="10">
        <f t="shared" si="10"/>
        <v>58.142857142857146</v>
      </c>
    </row>
    <row r="124" spans="1:17" s="32" customFormat="1" x14ac:dyDescent="0.2">
      <c r="A124" s="28" t="s">
        <v>14</v>
      </c>
      <c r="B124" s="29">
        <f>DATE(2016, 6,29)</f>
        <v>42550</v>
      </c>
      <c r="C124" s="28">
        <v>2016181</v>
      </c>
      <c r="D124" s="28">
        <f>67+(28.633/60)</f>
        <v>67.477216666666664</v>
      </c>
      <c r="E124" s="28">
        <f>-(63+(46.867/60))</f>
        <v>-63.781116666666669</v>
      </c>
      <c r="F124" s="28" t="s">
        <v>15</v>
      </c>
      <c r="G124" s="28" t="s">
        <v>22</v>
      </c>
      <c r="H124" s="28"/>
      <c r="I124" s="28"/>
      <c r="J124" s="30"/>
      <c r="K124" s="28">
        <v>4</v>
      </c>
      <c r="L124" s="28">
        <v>0.14000000000000001</v>
      </c>
      <c r="M124" s="30">
        <f>PI()*(L124/2)^2</f>
        <v>1.5393804002589988E-2</v>
      </c>
      <c r="N124" s="33">
        <v>5300</v>
      </c>
      <c r="O124" s="33">
        <v>6340</v>
      </c>
      <c r="P124" s="34">
        <f t="shared" si="9"/>
        <v>1040</v>
      </c>
      <c r="Q124" s="35">
        <f t="shared" si="10"/>
        <v>6.0961538461538458</v>
      </c>
    </row>
    <row r="125" spans="1:17" s="32" customFormat="1" x14ac:dyDescent="0.2">
      <c r="A125" s="28" t="s">
        <v>14</v>
      </c>
      <c r="B125" s="29">
        <f>DATE(2016, 6,29)</f>
        <v>42550</v>
      </c>
      <c r="C125" s="28">
        <v>2016181</v>
      </c>
      <c r="D125" s="28">
        <f>67+(28.633/60)</f>
        <v>67.477216666666664</v>
      </c>
      <c r="E125" s="28">
        <f>-(63+(46.867/60))</f>
        <v>-63.781116666666669</v>
      </c>
      <c r="F125" s="28" t="s">
        <v>15</v>
      </c>
      <c r="G125" s="28" t="s">
        <v>23</v>
      </c>
      <c r="H125" s="28"/>
      <c r="I125" s="28"/>
      <c r="J125" s="30"/>
      <c r="K125" s="28">
        <v>4</v>
      </c>
      <c r="L125" s="28">
        <v>0.14000000000000001</v>
      </c>
      <c r="M125" s="30">
        <f>PI()*(L125/2)^2</f>
        <v>1.5393804002589988E-2</v>
      </c>
      <c r="N125" s="33">
        <v>12400</v>
      </c>
      <c r="O125" s="33">
        <v>16400</v>
      </c>
      <c r="P125" s="34">
        <f t="shared" si="9"/>
        <v>4000</v>
      </c>
      <c r="Q125" s="35">
        <f t="shared" si="10"/>
        <v>4.0999999999999996</v>
      </c>
    </row>
    <row r="126" spans="1:17" x14ac:dyDescent="0.2">
      <c r="A126" s="6" t="s">
        <v>14</v>
      </c>
      <c r="B126" s="7">
        <v>42550</v>
      </c>
      <c r="C126" s="6">
        <v>2016181</v>
      </c>
      <c r="D126" s="6">
        <v>67.477216666666664</v>
      </c>
      <c r="E126" s="6">
        <v>-63.781116666666669</v>
      </c>
      <c r="F126" s="6" t="s">
        <v>25</v>
      </c>
      <c r="G126" s="6" t="s">
        <v>22</v>
      </c>
      <c r="H126" s="6">
        <v>1</v>
      </c>
      <c r="I126" s="6">
        <v>0.09</v>
      </c>
      <c r="J126" s="17">
        <f>PI()*(I126/2)^2</f>
        <v>6.3617251235193305E-3</v>
      </c>
      <c r="K126" s="6">
        <v>0</v>
      </c>
      <c r="L126" s="17"/>
      <c r="M126" s="17"/>
      <c r="N126" s="12">
        <v>515</v>
      </c>
      <c r="O126" s="12">
        <v>722</v>
      </c>
      <c r="P126" s="12">
        <f t="shared" si="9"/>
        <v>207</v>
      </c>
      <c r="Q126" s="10">
        <f t="shared" si="10"/>
        <v>3.4879227053140096</v>
      </c>
    </row>
    <row r="127" spans="1:17" x14ac:dyDescent="0.2">
      <c r="A127" s="6" t="s">
        <v>14</v>
      </c>
      <c r="B127" s="7">
        <v>42550</v>
      </c>
      <c r="C127" s="6">
        <v>2016181</v>
      </c>
      <c r="D127" s="6">
        <v>67.477216666666664</v>
      </c>
      <c r="E127" s="6">
        <v>-63.781116666666669</v>
      </c>
      <c r="F127" s="6" t="s">
        <v>25</v>
      </c>
      <c r="G127" s="6" t="s">
        <v>23</v>
      </c>
      <c r="H127" s="6">
        <v>1</v>
      </c>
      <c r="I127" s="6">
        <v>0.09</v>
      </c>
      <c r="J127" s="17">
        <f>PI()*(I127/2)^2</f>
        <v>6.3617251235193305E-3</v>
      </c>
      <c r="K127" s="6">
        <v>0</v>
      </c>
      <c r="L127" s="17"/>
      <c r="M127" s="17"/>
      <c r="N127" s="12">
        <v>1200</v>
      </c>
      <c r="O127" s="12">
        <v>1400</v>
      </c>
      <c r="P127" s="12">
        <f t="shared" si="9"/>
        <v>200</v>
      </c>
      <c r="Q127" s="10">
        <f t="shared" si="10"/>
        <v>7</v>
      </c>
    </row>
    <row r="128" spans="1:17" x14ac:dyDescent="0.2">
      <c r="A128" s="6" t="s">
        <v>14</v>
      </c>
      <c r="B128" s="7">
        <f>DATE(2016, 7,1)</f>
        <v>42552</v>
      </c>
      <c r="C128" s="6">
        <v>2016183</v>
      </c>
      <c r="D128" s="6">
        <f>67+(28.635/60)</f>
        <v>67.477249999999998</v>
      </c>
      <c r="E128" s="6">
        <f>-(63+(46.859/60))</f>
        <v>-63.780983333333332</v>
      </c>
      <c r="F128" s="6" t="s">
        <v>18</v>
      </c>
      <c r="G128" s="6" t="s">
        <v>24</v>
      </c>
      <c r="H128" s="6">
        <v>1</v>
      </c>
      <c r="I128" s="6">
        <v>0.09</v>
      </c>
      <c r="J128" s="17">
        <f>PI()*(I128/2)^2</f>
        <v>6.3617251235193305E-3</v>
      </c>
      <c r="K128" s="6">
        <v>2</v>
      </c>
      <c r="L128" s="6">
        <v>0.14000000000000001</v>
      </c>
      <c r="M128" s="17">
        <f>PI()*(L128/2)^2</f>
        <v>1.5393804002589988E-2</v>
      </c>
      <c r="N128" s="12">
        <v>8000</v>
      </c>
      <c r="O128" s="12">
        <v>8520</v>
      </c>
      <c r="P128" s="12">
        <f t="shared" si="9"/>
        <v>520</v>
      </c>
      <c r="Q128" s="10">
        <f t="shared" si="10"/>
        <v>16.384615384615383</v>
      </c>
    </row>
    <row r="129" spans="1:17" s="32" customFormat="1" x14ac:dyDescent="0.2">
      <c r="A129" s="28" t="s">
        <v>14</v>
      </c>
      <c r="B129" s="29">
        <f>DATE(2016, 7,1)</f>
        <v>42552</v>
      </c>
      <c r="C129" s="28">
        <v>2016183</v>
      </c>
      <c r="D129" s="28">
        <f>67+(28.635/60)</f>
        <v>67.477249999999998</v>
      </c>
      <c r="E129" s="28">
        <f>-(63+(46.859/60))</f>
        <v>-63.780983333333332</v>
      </c>
      <c r="F129" s="28" t="s">
        <v>15</v>
      </c>
      <c r="G129" s="28" t="s">
        <v>22</v>
      </c>
      <c r="H129" s="28"/>
      <c r="I129" s="28"/>
      <c r="J129" s="30"/>
      <c r="K129" s="28">
        <v>4</v>
      </c>
      <c r="L129" s="28">
        <v>0.14000000000000001</v>
      </c>
      <c r="M129" s="30">
        <f>PI()*(L129/2)^2</f>
        <v>1.5393804002589988E-2</v>
      </c>
      <c r="N129" s="31">
        <v>5300</v>
      </c>
      <c r="O129" s="31">
        <v>7220</v>
      </c>
      <c r="P129" s="31">
        <f t="shared" si="9"/>
        <v>1920</v>
      </c>
      <c r="Q129" s="35">
        <f t="shared" si="10"/>
        <v>3.7604166666666665</v>
      </c>
    </row>
    <row r="130" spans="1:17" s="32" customFormat="1" x14ac:dyDescent="0.2">
      <c r="A130" s="28" t="s">
        <v>14</v>
      </c>
      <c r="B130" s="29">
        <f>DATE(2016, 7,1)</f>
        <v>42552</v>
      </c>
      <c r="C130" s="28">
        <v>2016183</v>
      </c>
      <c r="D130" s="28">
        <f>67+(28.635/60)</f>
        <v>67.477249999999998</v>
      </c>
      <c r="E130" s="28">
        <f>-(63+(46.859/60))</f>
        <v>-63.780983333333332</v>
      </c>
      <c r="F130" s="28" t="s">
        <v>15</v>
      </c>
      <c r="G130" s="28" t="s">
        <v>23</v>
      </c>
      <c r="H130" s="28"/>
      <c r="I130" s="28"/>
      <c r="J130" s="30"/>
      <c r="K130" s="28">
        <v>4</v>
      </c>
      <c r="L130" s="28">
        <v>0.14000000000000001</v>
      </c>
      <c r="M130" s="30">
        <f>PI()*(L130/2)^2</f>
        <v>1.5393804002589988E-2</v>
      </c>
      <c r="N130" s="31">
        <v>12400</v>
      </c>
      <c r="O130" s="31">
        <v>16435</v>
      </c>
      <c r="P130" s="31">
        <f t="shared" ref="P130:P147" si="11">O130-N130</f>
        <v>4035</v>
      </c>
      <c r="Q130" s="35">
        <f t="shared" ref="Q130:Q147" si="12">O130/P130</f>
        <v>4.0731102850061962</v>
      </c>
    </row>
    <row r="131" spans="1:17" x14ac:dyDescent="0.2">
      <c r="A131" s="6" t="s">
        <v>14</v>
      </c>
      <c r="B131" s="7">
        <v>42552</v>
      </c>
      <c r="C131" s="6">
        <v>2016183</v>
      </c>
      <c r="D131" s="6">
        <v>67.477249999999998</v>
      </c>
      <c r="E131" s="6">
        <v>-63.780983333333332</v>
      </c>
      <c r="F131" s="6" t="s">
        <v>25</v>
      </c>
      <c r="G131" s="6" t="s">
        <v>22</v>
      </c>
      <c r="H131" s="6">
        <v>1</v>
      </c>
      <c r="I131" s="6">
        <v>0.09</v>
      </c>
      <c r="J131" s="17">
        <f>PI()*(I131/2)^2</f>
        <v>6.3617251235193305E-3</v>
      </c>
      <c r="K131" s="6">
        <v>0</v>
      </c>
      <c r="L131" s="17"/>
      <c r="M131" s="17"/>
      <c r="N131" s="12">
        <v>515</v>
      </c>
      <c r="O131" s="12">
        <v>670</v>
      </c>
      <c r="P131" s="12">
        <f t="shared" si="11"/>
        <v>155</v>
      </c>
      <c r="Q131" s="10">
        <f t="shared" si="12"/>
        <v>4.32258064516129</v>
      </c>
    </row>
    <row r="132" spans="1:17" x14ac:dyDescent="0.2">
      <c r="A132" s="6" t="s">
        <v>14</v>
      </c>
      <c r="B132" s="7">
        <v>42552</v>
      </c>
      <c r="C132" s="6">
        <v>2016183</v>
      </c>
      <c r="D132" s="6">
        <v>67.477249999999998</v>
      </c>
      <c r="E132" s="6">
        <v>-63.780983333333332</v>
      </c>
      <c r="F132" s="6" t="s">
        <v>25</v>
      </c>
      <c r="G132" s="6" t="s">
        <v>23</v>
      </c>
      <c r="H132" s="6">
        <v>1</v>
      </c>
      <c r="I132" s="6">
        <v>0.09</v>
      </c>
      <c r="J132" s="17">
        <f>PI()*(I132/2)^2</f>
        <v>6.3617251235193305E-3</v>
      </c>
      <c r="K132" s="6">
        <v>0</v>
      </c>
      <c r="L132" s="17"/>
      <c r="M132" s="17"/>
      <c r="N132" s="12">
        <v>1200</v>
      </c>
      <c r="O132" s="12">
        <v>1360</v>
      </c>
      <c r="P132" s="12">
        <f t="shared" si="11"/>
        <v>160</v>
      </c>
      <c r="Q132" s="10">
        <f t="shared" si="12"/>
        <v>8.5</v>
      </c>
    </row>
    <row r="133" spans="1:17" x14ac:dyDescent="0.2">
      <c r="A133" s="6" t="s">
        <v>14</v>
      </c>
      <c r="B133" s="7">
        <f>DATE(2016, 7,4)</f>
        <v>42555</v>
      </c>
      <c r="C133" s="6">
        <v>2016186</v>
      </c>
      <c r="D133" s="6">
        <f>67+(28.622/60)</f>
        <v>67.477033333333338</v>
      </c>
      <c r="E133" s="6">
        <f>-(63+(46.853/60))</f>
        <v>-63.780883333333335</v>
      </c>
      <c r="F133" s="6" t="s">
        <v>18</v>
      </c>
      <c r="G133" s="6" t="s">
        <v>24</v>
      </c>
      <c r="H133" s="6">
        <v>1</v>
      </c>
      <c r="I133" s="6">
        <v>0.09</v>
      </c>
      <c r="J133" s="17">
        <f>PI()*(I133/2)^2</f>
        <v>6.3617251235193305E-3</v>
      </c>
      <c r="K133" s="6">
        <v>2</v>
      </c>
      <c r="L133" s="6">
        <v>0.14000000000000001</v>
      </c>
      <c r="M133" s="17">
        <f>PI()*(L133/2)^2</f>
        <v>1.5393804002589988E-2</v>
      </c>
      <c r="N133" s="12">
        <v>8000</v>
      </c>
      <c r="O133" s="12">
        <v>8270</v>
      </c>
      <c r="P133" s="12">
        <f t="shared" si="11"/>
        <v>270</v>
      </c>
      <c r="Q133" s="10">
        <f t="shared" si="12"/>
        <v>30.62962962962963</v>
      </c>
    </row>
    <row r="134" spans="1:17" s="32" customFormat="1" x14ac:dyDescent="0.2">
      <c r="A134" s="28" t="s">
        <v>14</v>
      </c>
      <c r="B134" s="29">
        <f>DATE(2016, 7,4)</f>
        <v>42555</v>
      </c>
      <c r="C134" s="28">
        <v>2016186</v>
      </c>
      <c r="D134" s="28">
        <f>67+(28.622/60)</f>
        <v>67.477033333333338</v>
      </c>
      <c r="E134" s="28">
        <f>-(63+(46.853/60))</f>
        <v>-63.780883333333335</v>
      </c>
      <c r="F134" s="28" t="s">
        <v>15</v>
      </c>
      <c r="G134" s="28" t="s">
        <v>22</v>
      </c>
      <c r="H134" s="28"/>
      <c r="I134" s="28"/>
      <c r="J134" s="30"/>
      <c r="K134" s="28">
        <v>4</v>
      </c>
      <c r="L134" s="28">
        <v>0.14000000000000001</v>
      </c>
      <c r="M134" s="30">
        <f>PI()*(L134/2)^2</f>
        <v>1.5393804002589988E-2</v>
      </c>
      <c r="N134" s="31">
        <v>5300</v>
      </c>
      <c r="O134" s="31">
        <v>7210</v>
      </c>
      <c r="P134" s="31">
        <f t="shared" si="11"/>
        <v>1910</v>
      </c>
      <c r="Q134" s="35">
        <f t="shared" si="12"/>
        <v>3.7748691099476441</v>
      </c>
    </row>
    <row r="135" spans="1:17" s="32" customFormat="1" x14ac:dyDescent="0.2">
      <c r="A135" s="28" t="s">
        <v>14</v>
      </c>
      <c r="B135" s="29">
        <f>DATE(2016, 7,4)</f>
        <v>42555</v>
      </c>
      <c r="C135" s="28">
        <v>2016186</v>
      </c>
      <c r="D135" s="28">
        <f>67+(28.622/60)</f>
        <v>67.477033333333338</v>
      </c>
      <c r="E135" s="28">
        <f>-(63+(46.853/60))</f>
        <v>-63.780883333333335</v>
      </c>
      <c r="F135" s="28" t="s">
        <v>15</v>
      </c>
      <c r="G135" s="28" t="s">
        <v>23</v>
      </c>
      <c r="H135" s="28"/>
      <c r="I135" s="28"/>
      <c r="J135" s="30"/>
      <c r="K135" s="28">
        <v>4</v>
      </c>
      <c r="L135" s="28">
        <v>0.14000000000000001</v>
      </c>
      <c r="M135" s="30">
        <f>PI()*(L135/2)^2</f>
        <v>1.5393804002589988E-2</v>
      </c>
      <c r="N135" s="31">
        <v>12400</v>
      </c>
      <c r="O135" s="31">
        <v>16355</v>
      </c>
      <c r="P135" s="31">
        <f t="shared" si="11"/>
        <v>3955</v>
      </c>
      <c r="Q135" s="35">
        <f t="shared" si="12"/>
        <v>4.1352718078381798</v>
      </c>
    </row>
    <row r="136" spans="1:17" x14ac:dyDescent="0.2">
      <c r="A136" s="6" t="s">
        <v>14</v>
      </c>
      <c r="B136" s="7">
        <v>42555</v>
      </c>
      <c r="C136" s="6">
        <v>2016186</v>
      </c>
      <c r="D136" s="6">
        <v>67.477033333333338</v>
      </c>
      <c r="E136" s="6">
        <v>-63.780883333333335</v>
      </c>
      <c r="F136" s="6" t="s">
        <v>25</v>
      </c>
      <c r="G136" s="6" t="s">
        <v>22</v>
      </c>
      <c r="H136" s="6">
        <v>1</v>
      </c>
      <c r="I136" s="6">
        <v>0.09</v>
      </c>
      <c r="J136" s="17">
        <f>PI()*(I136/2)^2</f>
        <v>6.3617251235193305E-3</v>
      </c>
      <c r="K136" s="6">
        <v>0</v>
      </c>
      <c r="L136" s="17"/>
      <c r="M136" s="17"/>
      <c r="N136" s="12">
        <v>515</v>
      </c>
      <c r="O136" s="12">
        <v>650</v>
      </c>
      <c r="P136" s="12">
        <f t="shared" si="11"/>
        <v>135</v>
      </c>
      <c r="Q136" s="10">
        <f t="shared" si="12"/>
        <v>4.8148148148148149</v>
      </c>
    </row>
    <row r="137" spans="1:17" x14ac:dyDescent="0.2">
      <c r="A137" s="6" t="s">
        <v>14</v>
      </c>
      <c r="B137" s="7">
        <v>42555</v>
      </c>
      <c r="C137" s="6">
        <v>2016186</v>
      </c>
      <c r="D137" s="6">
        <v>67.477033333333338</v>
      </c>
      <c r="E137" s="6">
        <v>-63.780883333333335</v>
      </c>
      <c r="F137" s="6" t="s">
        <v>25</v>
      </c>
      <c r="G137" s="6" t="s">
        <v>23</v>
      </c>
      <c r="H137" s="6">
        <v>1</v>
      </c>
      <c r="I137" s="6">
        <v>0.09</v>
      </c>
      <c r="J137" s="17">
        <f>PI()*(I137/2)^2</f>
        <v>6.3617251235193305E-3</v>
      </c>
      <c r="K137" s="6">
        <v>0</v>
      </c>
      <c r="L137" s="17"/>
      <c r="M137" s="17"/>
      <c r="N137" s="12">
        <v>1200</v>
      </c>
      <c r="O137" s="12">
        <v>1300</v>
      </c>
      <c r="P137" s="12">
        <f t="shared" si="11"/>
        <v>100</v>
      </c>
      <c r="Q137" s="10">
        <f t="shared" si="12"/>
        <v>13</v>
      </c>
    </row>
    <row r="138" spans="1:17" x14ac:dyDescent="0.2">
      <c r="A138" s="6" t="s">
        <v>14</v>
      </c>
      <c r="B138" s="7">
        <f>DATE(2016, 7,6)</f>
        <v>42557</v>
      </c>
      <c r="C138" s="6">
        <v>2016188</v>
      </c>
      <c r="D138" s="6">
        <f>67+(28.614/60)</f>
        <v>67.476900000000001</v>
      </c>
      <c r="E138" s="6">
        <f>-(63+(46.836/60))</f>
        <v>-63.7806</v>
      </c>
      <c r="F138" s="6" t="s">
        <v>18</v>
      </c>
      <c r="G138" s="6" t="s">
        <v>24</v>
      </c>
      <c r="H138" s="6">
        <v>1</v>
      </c>
      <c r="I138" s="6">
        <v>0.09</v>
      </c>
      <c r="J138" s="17">
        <f>PI()*(I138/2)^2</f>
        <v>6.3617251235193305E-3</v>
      </c>
      <c r="K138" s="6">
        <v>2</v>
      </c>
      <c r="L138" s="6">
        <v>0.14000000000000001</v>
      </c>
      <c r="M138" s="17">
        <f>PI()*(L138/2)^2</f>
        <v>1.5393804002589988E-2</v>
      </c>
      <c r="N138" s="12">
        <v>8000</v>
      </c>
      <c r="O138" s="12">
        <v>8540</v>
      </c>
      <c r="P138" s="12">
        <f t="shared" si="11"/>
        <v>540</v>
      </c>
      <c r="Q138" s="10">
        <f t="shared" si="12"/>
        <v>15.814814814814815</v>
      </c>
    </row>
    <row r="139" spans="1:17" s="32" customFormat="1" x14ac:dyDescent="0.2">
      <c r="A139" s="28" t="s">
        <v>14</v>
      </c>
      <c r="B139" s="29">
        <f>DATE(2016, 7,6)</f>
        <v>42557</v>
      </c>
      <c r="C139" s="28">
        <v>2016188</v>
      </c>
      <c r="D139" s="28">
        <f>67+(28.614/60)</f>
        <v>67.476900000000001</v>
      </c>
      <c r="E139" s="28">
        <f>-(63+(46.836/60))</f>
        <v>-63.7806</v>
      </c>
      <c r="F139" s="28" t="s">
        <v>15</v>
      </c>
      <c r="G139" s="28" t="s">
        <v>22</v>
      </c>
      <c r="H139" s="28"/>
      <c r="I139" s="28"/>
      <c r="J139" s="30"/>
      <c r="K139" s="28">
        <v>4</v>
      </c>
      <c r="L139" s="28">
        <v>0.14000000000000001</v>
      </c>
      <c r="M139" s="30">
        <f>PI()*(L139/2)^2</f>
        <v>1.5393804002589988E-2</v>
      </c>
      <c r="N139" s="31">
        <v>5300</v>
      </c>
      <c r="O139" s="31">
        <v>7220</v>
      </c>
      <c r="P139" s="31">
        <f t="shared" si="11"/>
        <v>1920</v>
      </c>
      <c r="Q139" s="35">
        <f t="shared" si="12"/>
        <v>3.7604166666666665</v>
      </c>
    </row>
    <row r="140" spans="1:17" s="32" customFormat="1" x14ac:dyDescent="0.2">
      <c r="A140" s="28" t="s">
        <v>14</v>
      </c>
      <c r="B140" s="29">
        <f>DATE(2016, 7,6)</f>
        <v>42557</v>
      </c>
      <c r="C140" s="28">
        <v>2016188</v>
      </c>
      <c r="D140" s="28">
        <f>67+(28.614/60)</f>
        <v>67.476900000000001</v>
      </c>
      <c r="E140" s="28">
        <f>-(63+(46.836/60))</f>
        <v>-63.7806</v>
      </c>
      <c r="F140" s="28" t="s">
        <v>15</v>
      </c>
      <c r="G140" s="28" t="s">
        <v>23</v>
      </c>
      <c r="H140" s="28"/>
      <c r="I140" s="28"/>
      <c r="J140" s="30"/>
      <c r="K140" s="28">
        <v>4</v>
      </c>
      <c r="L140" s="28">
        <v>0.14000000000000001</v>
      </c>
      <c r="M140" s="30">
        <f>PI()*(L140/2)^2</f>
        <v>1.5393804002589988E-2</v>
      </c>
      <c r="N140" s="31">
        <v>12400</v>
      </c>
      <c r="O140" s="31">
        <v>16120</v>
      </c>
      <c r="P140" s="31">
        <f t="shared" si="11"/>
        <v>3720</v>
      </c>
      <c r="Q140" s="35">
        <f t="shared" si="12"/>
        <v>4.333333333333333</v>
      </c>
    </row>
    <row r="141" spans="1:17" x14ac:dyDescent="0.2">
      <c r="A141" s="6" t="s">
        <v>14</v>
      </c>
      <c r="B141" s="7">
        <v>42557</v>
      </c>
      <c r="C141" s="6">
        <v>2016188</v>
      </c>
      <c r="D141" s="6">
        <v>67.476900000000001</v>
      </c>
      <c r="E141" s="6">
        <v>-63.7806</v>
      </c>
      <c r="F141" s="6" t="s">
        <v>25</v>
      </c>
      <c r="G141" s="6" t="s">
        <v>22</v>
      </c>
      <c r="H141" s="6">
        <v>1</v>
      </c>
      <c r="I141" s="6">
        <v>0.09</v>
      </c>
      <c r="J141" s="17">
        <f>PI()*(I141/2)^2</f>
        <v>6.3617251235193305E-3</v>
      </c>
      <c r="K141" s="6">
        <v>0</v>
      </c>
      <c r="L141" s="17"/>
      <c r="M141" s="17"/>
      <c r="N141" s="12">
        <v>515</v>
      </c>
      <c r="O141" s="12">
        <v>660</v>
      </c>
      <c r="P141" s="12">
        <f t="shared" si="11"/>
        <v>145</v>
      </c>
      <c r="Q141" s="10">
        <f t="shared" si="12"/>
        <v>4.5517241379310347</v>
      </c>
    </row>
    <row r="142" spans="1:17" x14ac:dyDescent="0.2">
      <c r="A142" s="6" t="s">
        <v>14</v>
      </c>
      <c r="B142" s="7">
        <v>42557</v>
      </c>
      <c r="C142" s="6">
        <v>2016188</v>
      </c>
      <c r="D142" s="6">
        <v>67.476900000000001</v>
      </c>
      <c r="E142" s="6">
        <v>-63.7806</v>
      </c>
      <c r="F142" s="6" t="s">
        <v>25</v>
      </c>
      <c r="G142" s="6" t="s">
        <v>23</v>
      </c>
      <c r="H142" s="6">
        <v>1</v>
      </c>
      <c r="I142" s="6">
        <v>0.09</v>
      </c>
      <c r="J142" s="17">
        <f>PI()*(I142/2)^2</f>
        <v>6.3617251235193305E-3</v>
      </c>
      <c r="K142" s="6">
        <v>0</v>
      </c>
      <c r="L142" s="17"/>
      <c r="M142" s="17"/>
      <c r="N142" s="12">
        <v>1200</v>
      </c>
      <c r="O142" s="12">
        <v>1400</v>
      </c>
      <c r="P142" s="12">
        <f t="shared" si="11"/>
        <v>200</v>
      </c>
      <c r="Q142" s="10">
        <f t="shared" si="12"/>
        <v>7</v>
      </c>
    </row>
    <row r="143" spans="1:17" x14ac:dyDescent="0.2">
      <c r="A143" s="6" t="s">
        <v>14</v>
      </c>
      <c r="B143" s="7">
        <f>DATE(2016, 7,8)</f>
        <v>42559</v>
      </c>
      <c r="C143" s="6">
        <v>2016190</v>
      </c>
      <c r="D143" s="6">
        <f>67+(28.607/60)</f>
        <v>67.47678333333333</v>
      </c>
      <c r="E143" s="6">
        <f>-(63+(46.823/60))</f>
        <v>-63.780383333333333</v>
      </c>
      <c r="F143" s="6" t="s">
        <v>18</v>
      </c>
      <c r="G143" s="6" t="s">
        <v>24</v>
      </c>
      <c r="H143" s="6">
        <v>1</v>
      </c>
      <c r="I143" s="6">
        <v>0.09</v>
      </c>
      <c r="J143" s="17">
        <f>PI()*(I143/2)^2</f>
        <v>6.3617251235193305E-3</v>
      </c>
      <c r="K143" s="6">
        <v>2</v>
      </c>
      <c r="L143" s="6">
        <v>0.14000000000000001</v>
      </c>
      <c r="M143" s="17">
        <f>PI()*(L143/2)^2</f>
        <v>1.5393804002589988E-2</v>
      </c>
      <c r="N143" s="12">
        <v>8000</v>
      </c>
      <c r="O143" s="12">
        <v>8200</v>
      </c>
      <c r="P143" s="12">
        <f t="shared" si="11"/>
        <v>200</v>
      </c>
      <c r="Q143" s="10">
        <f t="shared" si="12"/>
        <v>41</v>
      </c>
    </row>
    <row r="144" spans="1:17" s="32" customFormat="1" x14ac:dyDescent="0.2">
      <c r="A144" s="28" t="s">
        <v>14</v>
      </c>
      <c r="B144" s="29">
        <f>DATE(2016, 7,8)</f>
        <v>42559</v>
      </c>
      <c r="C144" s="28">
        <v>2016190</v>
      </c>
      <c r="D144" s="28">
        <f>67+(28.607/60)</f>
        <v>67.47678333333333</v>
      </c>
      <c r="E144" s="28">
        <f>-(63+(46.823/60))</f>
        <v>-63.780383333333333</v>
      </c>
      <c r="F144" s="28" t="s">
        <v>15</v>
      </c>
      <c r="G144" s="28" t="s">
        <v>22</v>
      </c>
      <c r="H144" s="28"/>
      <c r="I144" s="28"/>
      <c r="J144" s="30"/>
      <c r="K144" s="28">
        <v>4</v>
      </c>
      <c r="L144" s="28">
        <v>0.14000000000000001</v>
      </c>
      <c r="M144" s="30">
        <f>PI()*(L144/2)^2</f>
        <v>1.5393804002589988E-2</v>
      </c>
      <c r="N144" s="31">
        <v>5300</v>
      </c>
      <c r="O144" s="31">
        <v>6830</v>
      </c>
      <c r="P144" s="31">
        <f t="shared" si="11"/>
        <v>1530</v>
      </c>
      <c r="Q144" s="35">
        <f t="shared" si="12"/>
        <v>4.4640522875816995</v>
      </c>
    </row>
    <row r="145" spans="1:17" s="32" customFormat="1" x14ac:dyDescent="0.2">
      <c r="A145" s="28" t="s">
        <v>14</v>
      </c>
      <c r="B145" s="29">
        <f>DATE(2016, 7,8)</f>
        <v>42559</v>
      </c>
      <c r="C145" s="28">
        <v>2016190</v>
      </c>
      <c r="D145" s="28">
        <f>67+(28.607/60)</f>
        <v>67.47678333333333</v>
      </c>
      <c r="E145" s="28">
        <f>-(63+(46.823/60))</f>
        <v>-63.780383333333333</v>
      </c>
      <c r="F145" s="28" t="s">
        <v>15</v>
      </c>
      <c r="G145" s="28" t="s">
        <v>23</v>
      </c>
      <c r="H145" s="28"/>
      <c r="I145" s="28"/>
      <c r="J145" s="30"/>
      <c r="K145" s="28">
        <v>4</v>
      </c>
      <c r="L145" s="28">
        <v>0.14000000000000001</v>
      </c>
      <c r="M145" s="30">
        <f>PI()*(L145/2)^2</f>
        <v>1.5393804002589988E-2</v>
      </c>
      <c r="N145" s="31">
        <v>12400</v>
      </c>
      <c r="O145" s="31">
        <v>16275</v>
      </c>
      <c r="P145" s="31">
        <f t="shared" si="11"/>
        <v>3875</v>
      </c>
      <c r="Q145" s="31">
        <f t="shared" si="12"/>
        <v>4.2</v>
      </c>
    </row>
    <row r="146" spans="1:17" x14ac:dyDescent="0.2">
      <c r="A146" s="6" t="s">
        <v>14</v>
      </c>
      <c r="B146" s="7">
        <v>42559</v>
      </c>
      <c r="C146" s="6">
        <v>2016190</v>
      </c>
      <c r="D146" s="6">
        <v>67.47678333333333</v>
      </c>
      <c r="E146" s="6">
        <v>-63.780383333333333</v>
      </c>
      <c r="F146" s="6" t="s">
        <v>25</v>
      </c>
      <c r="G146" s="6" t="s">
        <v>22</v>
      </c>
      <c r="H146" s="6">
        <v>1</v>
      </c>
      <c r="I146" s="6">
        <v>0.09</v>
      </c>
      <c r="J146" s="17">
        <f>PI()*(I146/2)^2</f>
        <v>6.3617251235193305E-3</v>
      </c>
      <c r="K146" s="6">
        <v>0</v>
      </c>
      <c r="L146" s="17"/>
      <c r="M146" s="17"/>
      <c r="N146" s="12">
        <v>515</v>
      </c>
      <c r="O146" s="12">
        <v>670</v>
      </c>
      <c r="P146" s="12">
        <f t="shared" si="11"/>
        <v>155</v>
      </c>
      <c r="Q146" s="10">
        <f t="shared" si="12"/>
        <v>4.32258064516129</v>
      </c>
    </row>
    <row r="147" spans="1:17" x14ac:dyDescent="0.2">
      <c r="A147" s="6" t="s">
        <v>14</v>
      </c>
      <c r="B147" s="7">
        <v>42559</v>
      </c>
      <c r="C147" s="6">
        <v>2016190</v>
      </c>
      <c r="D147" s="6">
        <v>67.47678333333333</v>
      </c>
      <c r="E147" s="6">
        <v>-63.780383333333333</v>
      </c>
      <c r="F147" s="6" t="s">
        <v>25</v>
      </c>
      <c r="G147" s="6" t="s">
        <v>23</v>
      </c>
      <c r="H147" s="6">
        <v>1</v>
      </c>
      <c r="I147" s="6">
        <v>0.09</v>
      </c>
      <c r="J147" s="17">
        <f>PI()*(I147/2)^2</f>
        <v>6.3617251235193305E-3</v>
      </c>
      <c r="K147" s="6">
        <v>0</v>
      </c>
      <c r="L147" s="17"/>
      <c r="M147" s="17"/>
      <c r="N147" s="12">
        <v>1200</v>
      </c>
      <c r="O147" s="12">
        <v>1420</v>
      </c>
      <c r="P147" s="12">
        <f t="shared" si="11"/>
        <v>220</v>
      </c>
      <c r="Q147" s="10">
        <f t="shared" si="12"/>
        <v>6.4545454545454541</v>
      </c>
    </row>
  </sheetData>
  <autoFilter ref="F1:F147"/>
  <sortState ref="A2:Q147">
    <sortCondition ref="B2:B147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6" x14ac:dyDescent="0.2"/>
  <sheetData>
    <row r="1" spans="1:1" x14ac:dyDescent="0.2">
      <c r="A1" t="s">
        <v>27</v>
      </c>
    </row>
    <row r="3" spans="1:1" x14ac:dyDescent="0.2">
      <c r="A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Dilution factor</vt:lpstr>
      <vt:lpstr>Read 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2017-02-21T15:55:33Z</dcterms:created>
  <dcterms:modified xsi:type="dcterms:W3CDTF">2018-04-05T20:34:03Z</dcterms:modified>
</cp:coreProperties>
</file>